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D -Drive\Pendrive\Kakinada\Coal\Satish\Reports\12.2025-26\Power BI Works\"/>
    </mc:Choice>
  </mc:AlternateContent>
  <xr:revisionPtr revIDLastSave="0" documentId="8_{F4257605-CDD4-46A7-BCF6-44E087471965}" xr6:coauthVersionLast="47" xr6:coauthVersionMax="47" xr10:uidLastSave="{00000000-0000-0000-0000-000000000000}"/>
  <bookViews>
    <workbookView xWindow="-120" yWindow="-120" windowWidth="29040" windowHeight="15720" xr2:uid="{4AC140A2-D016-4EB0-8383-3557FD975FD3}"/>
  </bookViews>
  <sheets>
    <sheet name="FY 24-25" sheetId="1" r:id="rId1"/>
  </sheets>
  <definedNames>
    <definedName name="_xlnm._FilterDatabase" localSheetId="0" hidden="1">'FY 24-25'!$A$30:$AD$1274</definedName>
    <definedName name="Loaded_Qty">'FY 24-25'!$AD$31:$AD$1275</definedName>
    <definedName name="Rake_Date">'FY 24-25'!$N$31:$N$1275</definedName>
    <definedName name="Rakes_Siding">'FY 24-25'!$K$31:$K$1275</definedName>
    <definedName name="UL_Qty">'FY 24-25'!$AG$31:$AG$1275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280" i="1" l="1"/>
  <c r="AL1280" i="1" s="1"/>
  <c r="BG1276" i="1"/>
  <c r="BF1276" i="1"/>
  <c r="AW1276" i="1"/>
  <c r="AU1276" i="1"/>
  <c r="AM1276" i="1"/>
  <c r="AH1276" i="1"/>
  <c r="Z1276" i="1"/>
  <c r="Y1276" i="1"/>
  <c r="BJ1274" i="1"/>
  <c r="BI1274" i="1"/>
  <c r="BH1274" i="1"/>
  <c r="BE1274" i="1"/>
  <c r="BM1274" i="1" s="1"/>
  <c r="AJ1274" i="1"/>
  <c r="AI1274" i="1"/>
  <c r="AG1274" i="1"/>
  <c r="AA1274" i="1"/>
  <c r="AB1274" i="1" s="1"/>
  <c r="V1274" i="1"/>
  <c r="X1274" i="1" s="1"/>
  <c r="BJ1273" i="1"/>
  <c r="BI1273" i="1"/>
  <c r="BH1273" i="1"/>
  <c r="BE1273" i="1"/>
  <c r="BM1273" i="1" s="1"/>
  <c r="AV1273" i="1"/>
  <c r="AJ1273" i="1"/>
  <c r="AI1273" i="1"/>
  <c r="AG1273" i="1"/>
  <c r="AY1273" i="1" s="1"/>
  <c r="AA1273" i="1"/>
  <c r="AC1273" i="1" s="1"/>
  <c r="V1273" i="1"/>
  <c r="X1273" i="1" s="1"/>
  <c r="BJ1272" i="1"/>
  <c r="BI1272" i="1"/>
  <c r="BH1272" i="1"/>
  <c r="BE1272" i="1"/>
  <c r="BM1272" i="1" s="1"/>
  <c r="AV1272" i="1"/>
  <c r="AJ1272" i="1"/>
  <c r="AI1272" i="1"/>
  <c r="AG1272" i="1"/>
  <c r="AY1272" i="1" s="1"/>
  <c r="AA1272" i="1"/>
  <c r="V1272" i="1"/>
  <c r="X1272" i="1" s="1"/>
  <c r="BJ1271" i="1"/>
  <c r="BI1271" i="1"/>
  <c r="BH1271" i="1"/>
  <c r="BE1271" i="1"/>
  <c r="BM1271" i="1" s="1"/>
  <c r="AV1271" i="1"/>
  <c r="AJ1271" i="1"/>
  <c r="AI1271" i="1"/>
  <c r="AG1271" i="1"/>
  <c r="AY1271" i="1" s="1"/>
  <c r="AA1271" i="1"/>
  <c r="V1271" i="1"/>
  <c r="X1271" i="1" s="1"/>
  <c r="BJ1270" i="1"/>
  <c r="BI1270" i="1"/>
  <c r="BH1270" i="1"/>
  <c r="BE1270" i="1"/>
  <c r="BM1270" i="1" s="1"/>
  <c r="AV1270" i="1"/>
  <c r="AJ1270" i="1"/>
  <c r="AO1270" i="1" s="1"/>
  <c r="AI1270" i="1"/>
  <c r="AG1270" i="1"/>
  <c r="AA1270" i="1"/>
  <c r="AB1270" i="1" s="1"/>
  <c r="V1270" i="1"/>
  <c r="X1270" i="1" s="1"/>
  <c r="BJ1269" i="1"/>
  <c r="BI1269" i="1"/>
  <c r="BH1269" i="1"/>
  <c r="BE1269" i="1"/>
  <c r="BM1269" i="1" s="1"/>
  <c r="AJ1269" i="1"/>
  <c r="AI1269" i="1"/>
  <c r="AG1269" i="1"/>
  <c r="AA1269" i="1"/>
  <c r="AC1269" i="1" s="1"/>
  <c r="V1269" i="1"/>
  <c r="X1269" i="1" s="1"/>
  <c r="BJ1268" i="1"/>
  <c r="BI1268" i="1"/>
  <c r="BH1268" i="1"/>
  <c r="BE1268" i="1"/>
  <c r="AJ1268" i="1"/>
  <c r="AI1268" i="1"/>
  <c r="AG1268" i="1"/>
  <c r="AA1268" i="1"/>
  <c r="V1268" i="1"/>
  <c r="X1268" i="1" s="1"/>
  <c r="BJ1267" i="1"/>
  <c r="BI1267" i="1"/>
  <c r="BH1267" i="1"/>
  <c r="BE1267" i="1"/>
  <c r="BM1267" i="1" s="1"/>
  <c r="AJ1267" i="1"/>
  <c r="AI1267" i="1"/>
  <c r="AG1267" i="1"/>
  <c r="AA1267" i="1"/>
  <c r="AB1267" i="1" s="1"/>
  <c r="V1267" i="1"/>
  <c r="X1267" i="1" s="1"/>
  <c r="AJ1266" i="1"/>
  <c r="AI1266" i="1"/>
  <c r="AG1266" i="1"/>
  <c r="AA1266" i="1"/>
  <c r="AC1266" i="1" s="1"/>
  <c r="BJ1265" i="1"/>
  <c r="BI1265" i="1"/>
  <c r="BH1265" i="1"/>
  <c r="BE1265" i="1"/>
  <c r="AJ1265" i="1"/>
  <c r="AF1265" i="1"/>
  <c r="AE1265" i="1"/>
  <c r="AD1265" i="1"/>
  <c r="AA1265" i="1"/>
  <c r="V1265" i="1"/>
  <c r="X1265" i="1" s="1"/>
  <c r="BJ1264" i="1"/>
  <c r="BI1264" i="1"/>
  <c r="BH1264" i="1"/>
  <c r="BE1264" i="1"/>
  <c r="BM1264" i="1" s="1"/>
  <c r="AJ1264" i="1"/>
  <c r="AI1264" i="1"/>
  <c r="AG1264" i="1"/>
  <c r="AY1264" i="1" s="1"/>
  <c r="AA1264" i="1"/>
  <c r="V1264" i="1"/>
  <c r="X1264" i="1" s="1"/>
  <c r="BJ1263" i="1"/>
  <c r="BI1263" i="1"/>
  <c r="BH1263" i="1"/>
  <c r="BE1263" i="1"/>
  <c r="AV1263" i="1"/>
  <c r="AJ1263" i="1"/>
  <c r="AI1263" i="1"/>
  <c r="AG1263" i="1"/>
  <c r="AX1263" i="1" s="1"/>
  <c r="AA1263" i="1"/>
  <c r="V1263" i="1"/>
  <c r="X1263" i="1" s="1"/>
  <c r="BJ1262" i="1"/>
  <c r="BI1262" i="1"/>
  <c r="BH1262" i="1"/>
  <c r="BE1262" i="1"/>
  <c r="BM1262" i="1" s="1"/>
  <c r="AV1262" i="1"/>
  <c r="AJ1262" i="1"/>
  <c r="AI1262" i="1"/>
  <c r="AG1262" i="1"/>
  <c r="AX1262" i="1" s="1"/>
  <c r="AA1262" i="1"/>
  <c r="V1262" i="1"/>
  <c r="X1262" i="1" s="1"/>
  <c r="BJ1261" i="1"/>
  <c r="BI1261" i="1"/>
  <c r="BH1261" i="1"/>
  <c r="BE1261" i="1"/>
  <c r="BM1261" i="1" s="1"/>
  <c r="AV1261" i="1"/>
  <c r="AJ1261" i="1"/>
  <c r="AI1261" i="1"/>
  <c r="AG1261" i="1"/>
  <c r="AA1261" i="1"/>
  <c r="V1261" i="1"/>
  <c r="X1261" i="1" s="1"/>
  <c r="BJ1260" i="1"/>
  <c r="BI1260" i="1"/>
  <c r="BH1260" i="1"/>
  <c r="BE1260" i="1"/>
  <c r="AV1260" i="1"/>
  <c r="AJ1260" i="1"/>
  <c r="AI1260" i="1"/>
  <c r="AG1260" i="1"/>
  <c r="AX1260" i="1" s="1"/>
  <c r="AA1260" i="1"/>
  <c r="V1260" i="1"/>
  <c r="X1260" i="1" s="1"/>
  <c r="BJ1259" i="1"/>
  <c r="BI1259" i="1"/>
  <c r="BH1259" i="1"/>
  <c r="BE1259" i="1"/>
  <c r="BM1259" i="1" s="1"/>
  <c r="AJ1259" i="1"/>
  <c r="AI1259" i="1"/>
  <c r="AG1259" i="1"/>
  <c r="AA1259" i="1"/>
  <c r="AC1259" i="1" s="1"/>
  <c r="V1259" i="1"/>
  <c r="X1259" i="1" s="1"/>
  <c r="BJ1258" i="1"/>
  <c r="BI1258" i="1"/>
  <c r="BH1258" i="1"/>
  <c r="BE1258" i="1"/>
  <c r="AV1258" i="1"/>
  <c r="AJ1258" i="1"/>
  <c r="AI1258" i="1"/>
  <c r="AG1258" i="1"/>
  <c r="AA1258" i="1"/>
  <c r="AC1258" i="1" s="1"/>
  <c r="V1258" i="1"/>
  <c r="X1258" i="1" s="1"/>
  <c r="BJ1257" i="1"/>
  <c r="BI1257" i="1"/>
  <c r="BH1257" i="1"/>
  <c r="BE1257" i="1"/>
  <c r="AV1257" i="1"/>
  <c r="AJ1257" i="1"/>
  <c r="AI1257" i="1"/>
  <c r="AG1257" i="1"/>
  <c r="AX1257" i="1" s="1"/>
  <c r="AA1257" i="1"/>
  <c r="AB1257" i="1" s="1"/>
  <c r="V1257" i="1"/>
  <c r="X1257" i="1" s="1"/>
  <c r="BJ1256" i="1"/>
  <c r="BI1256" i="1"/>
  <c r="BH1256" i="1"/>
  <c r="BE1256" i="1"/>
  <c r="AV1256" i="1"/>
  <c r="AJ1256" i="1"/>
  <c r="AI1256" i="1"/>
  <c r="AG1256" i="1"/>
  <c r="AA1256" i="1"/>
  <c r="AC1256" i="1" s="1"/>
  <c r="V1256" i="1"/>
  <c r="X1256" i="1" s="1"/>
  <c r="BJ1255" i="1"/>
  <c r="BI1255" i="1"/>
  <c r="BH1255" i="1"/>
  <c r="BE1255" i="1"/>
  <c r="AV1255" i="1"/>
  <c r="AJ1255" i="1"/>
  <c r="AO1255" i="1" s="1"/>
  <c r="AI1255" i="1"/>
  <c r="AG1255" i="1"/>
  <c r="AY1255" i="1" s="1"/>
  <c r="AA1255" i="1"/>
  <c r="V1255" i="1"/>
  <c r="X1255" i="1" s="1"/>
  <c r="BJ1254" i="1"/>
  <c r="BI1254" i="1"/>
  <c r="BH1254" i="1"/>
  <c r="BE1254" i="1"/>
  <c r="BM1254" i="1" s="1"/>
  <c r="AV1254" i="1"/>
  <c r="AJ1254" i="1"/>
  <c r="AI1254" i="1"/>
  <c r="AG1254" i="1"/>
  <c r="AX1254" i="1" s="1"/>
  <c r="AA1254" i="1"/>
  <c r="V1254" i="1"/>
  <c r="X1254" i="1" s="1"/>
  <c r="BJ1253" i="1"/>
  <c r="BI1253" i="1"/>
  <c r="BH1253" i="1"/>
  <c r="BE1253" i="1"/>
  <c r="BM1253" i="1" s="1"/>
  <c r="AJ1253" i="1"/>
  <c r="AI1253" i="1"/>
  <c r="AG1253" i="1"/>
  <c r="AA1253" i="1"/>
  <c r="AC1253" i="1" s="1"/>
  <c r="V1253" i="1"/>
  <c r="X1253" i="1" s="1"/>
  <c r="BJ1252" i="1"/>
  <c r="BI1252" i="1"/>
  <c r="BH1252" i="1"/>
  <c r="BE1252" i="1"/>
  <c r="AJ1252" i="1"/>
  <c r="AI1252" i="1"/>
  <c r="AG1252" i="1"/>
  <c r="AY1252" i="1" s="1"/>
  <c r="AA1252" i="1"/>
  <c r="V1252" i="1"/>
  <c r="X1252" i="1" s="1"/>
  <c r="AJ1251" i="1"/>
  <c r="AI1251" i="1"/>
  <c r="AG1251" i="1"/>
  <c r="AA1251" i="1"/>
  <c r="BJ1250" i="1"/>
  <c r="BI1250" i="1"/>
  <c r="BH1250" i="1"/>
  <c r="BE1250" i="1"/>
  <c r="BM1250" i="1" s="1"/>
  <c r="AJ1250" i="1"/>
  <c r="AF1250" i="1"/>
  <c r="AI1250" i="1" s="1"/>
  <c r="AE1250" i="1"/>
  <c r="AD1250" i="1"/>
  <c r="AA1250" i="1"/>
  <c r="V1250" i="1"/>
  <c r="X1250" i="1" s="1"/>
  <c r="BJ1249" i="1"/>
  <c r="BI1249" i="1"/>
  <c r="BH1249" i="1"/>
  <c r="BE1249" i="1"/>
  <c r="BM1249" i="1" s="1"/>
  <c r="AJ1249" i="1"/>
  <c r="AI1249" i="1"/>
  <c r="AG1249" i="1"/>
  <c r="AX1249" i="1" s="1"/>
  <c r="AA1249" i="1"/>
  <c r="AB1249" i="1" s="1"/>
  <c r="V1249" i="1"/>
  <c r="X1249" i="1" s="1"/>
  <c r="AJ1248" i="1"/>
  <c r="AI1248" i="1"/>
  <c r="AG1248" i="1"/>
  <c r="AA1248" i="1"/>
  <c r="AC1248" i="1" s="1"/>
  <c r="BJ1247" i="1"/>
  <c r="BI1247" i="1"/>
  <c r="BH1247" i="1"/>
  <c r="BE1247" i="1"/>
  <c r="AV1247" i="1"/>
  <c r="AJ1247" i="1"/>
  <c r="AF1247" i="1"/>
  <c r="AI1247" i="1" s="1"/>
  <c r="AE1247" i="1"/>
  <c r="AD1247" i="1"/>
  <c r="AA1247" i="1"/>
  <c r="V1247" i="1"/>
  <c r="X1247" i="1" s="1"/>
  <c r="BJ1246" i="1"/>
  <c r="BI1246" i="1"/>
  <c r="BH1246" i="1"/>
  <c r="BE1246" i="1"/>
  <c r="BM1246" i="1" s="1"/>
  <c r="AV1246" i="1"/>
  <c r="AJ1246" i="1"/>
  <c r="AI1246" i="1"/>
  <c r="AG1246" i="1"/>
  <c r="AX1246" i="1" s="1"/>
  <c r="AA1246" i="1"/>
  <c r="AB1246" i="1" s="1"/>
  <c r="V1246" i="1"/>
  <c r="X1246" i="1" s="1"/>
  <c r="BJ1245" i="1"/>
  <c r="BI1245" i="1"/>
  <c r="BH1245" i="1"/>
  <c r="BE1245" i="1"/>
  <c r="BM1245" i="1" s="1"/>
  <c r="AJ1245" i="1"/>
  <c r="AI1245" i="1"/>
  <c r="AG1245" i="1"/>
  <c r="AX1245" i="1" s="1"/>
  <c r="AA1245" i="1"/>
  <c r="AC1245" i="1" s="1"/>
  <c r="V1245" i="1"/>
  <c r="X1245" i="1" s="1"/>
  <c r="BJ1244" i="1"/>
  <c r="BI1244" i="1"/>
  <c r="BH1244" i="1"/>
  <c r="BE1244" i="1"/>
  <c r="AJ1244" i="1"/>
  <c r="AI1244" i="1"/>
  <c r="AG1244" i="1"/>
  <c r="AY1244" i="1" s="1"/>
  <c r="AA1244" i="1"/>
  <c r="AB1244" i="1" s="1"/>
  <c r="V1244" i="1"/>
  <c r="X1244" i="1" s="1"/>
  <c r="BJ1243" i="1"/>
  <c r="BI1243" i="1"/>
  <c r="BH1243" i="1"/>
  <c r="BE1243" i="1"/>
  <c r="BM1243" i="1" s="1"/>
  <c r="AV1243" i="1"/>
  <c r="AJ1243" i="1"/>
  <c r="AI1243" i="1"/>
  <c r="AG1243" i="1"/>
  <c r="AX1243" i="1" s="1"/>
  <c r="AA1243" i="1"/>
  <c r="AB1243" i="1" s="1"/>
  <c r="V1243" i="1"/>
  <c r="X1243" i="1" s="1"/>
  <c r="BJ1242" i="1"/>
  <c r="BI1242" i="1"/>
  <c r="BH1242" i="1"/>
  <c r="BE1242" i="1"/>
  <c r="AV1242" i="1"/>
  <c r="AJ1242" i="1"/>
  <c r="AI1242" i="1"/>
  <c r="AG1242" i="1"/>
  <c r="AX1242" i="1" s="1"/>
  <c r="AA1242" i="1"/>
  <c r="V1242" i="1"/>
  <c r="X1242" i="1" s="1"/>
  <c r="BJ1241" i="1"/>
  <c r="BI1241" i="1"/>
  <c r="BH1241" i="1"/>
  <c r="BE1241" i="1"/>
  <c r="BM1241" i="1" s="1"/>
  <c r="AJ1241" i="1"/>
  <c r="AI1241" i="1"/>
  <c r="AG1241" i="1"/>
  <c r="AA1241" i="1"/>
  <c r="AC1241" i="1" s="1"/>
  <c r="V1241" i="1"/>
  <c r="X1241" i="1" s="1"/>
  <c r="BJ1240" i="1"/>
  <c r="BI1240" i="1"/>
  <c r="BH1240" i="1"/>
  <c r="BE1240" i="1"/>
  <c r="AV1240" i="1"/>
  <c r="AJ1240" i="1"/>
  <c r="AI1240" i="1"/>
  <c r="AG1240" i="1"/>
  <c r="AA1240" i="1"/>
  <c r="AB1240" i="1" s="1"/>
  <c r="V1240" i="1"/>
  <c r="X1240" i="1" s="1"/>
  <c r="BJ1239" i="1"/>
  <c r="BI1239" i="1"/>
  <c r="BH1239" i="1"/>
  <c r="BE1239" i="1"/>
  <c r="AV1239" i="1"/>
  <c r="AJ1239" i="1"/>
  <c r="AI1239" i="1"/>
  <c r="AG1239" i="1"/>
  <c r="AA1239" i="1"/>
  <c r="V1239" i="1"/>
  <c r="X1239" i="1" s="1"/>
  <c r="BJ1238" i="1"/>
  <c r="BI1238" i="1"/>
  <c r="BH1238" i="1"/>
  <c r="BE1238" i="1"/>
  <c r="BM1238" i="1" s="1"/>
  <c r="AV1238" i="1"/>
  <c r="AJ1238" i="1"/>
  <c r="AI1238" i="1"/>
  <c r="AG1238" i="1"/>
  <c r="AA1238" i="1"/>
  <c r="AC1238" i="1" s="1"/>
  <c r="V1238" i="1"/>
  <c r="X1238" i="1" s="1"/>
  <c r="BJ1237" i="1"/>
  <c r="BI1237" i="1"/>
  <c r="BH1237" i="1"/>
  <c r="BE1237" i="1"/>
  <c r="AK1237" i="1"/>
  <c r="AJ1237" i="1"/>
  <c r="AI1237" i="1"/>
  <c r="AG1237" i="1"/>
  <c r="AY1237" i="1" s="1"/>
  <c r="AA1237" i="1"/>
  <c r="V1237" i="1"/>
  <c r="X1237" i="1" s="1"/>
  <c r="BJ1236" i="1"/>
  <c r="BI1236" i="1"/>
  <c r="BH1236" i="1"/>
  <c r="BE1236" i="1"/>
  <c r="AV1236" i="1"/>
  <c r="AJ1236" i="1"/>
  <c r="AI1236" i="1"/>
  <c r="AG1236" i="1"/>
  <c r="AX1236" i="1" s="1"/>
  <c r="AA1236" i="1"/>
  <c r="AC1236" i="1" s="1"/>
  <c r="V1236" i="1"/>
  <c r="X1236" i="1" s="1"/>
  <c r="BJ1235" i="1"/>
  <c r="BI1235" i="1"/>
  <c r="BH1235" i="1"/>
  <c r="BE1235" i="1"/>
  <c r="AJ1235" i="1"/>
  <c r="AI1235" i="1"/>
  <c r="AG1235" i="1"/>
  <c r="AA1235" i="1"/>
  <c r="V1235" i="1"/>
  <c r="X1235" i="1" s="1"/>
  <c r="BJ1234" i="1"/>
  <c r="BI1234" i="1"/>
  <c r="BH1234" i="1"/>
  <c r="BE1234" i="1"/>
  <c r="BM1234" i="1" s="1"/>
  <c r="AV1234" i="1"/>
  <c r="AJ1234" i="1"/>
  <c r="AI1234" i="1"/>
  <c r="AG1234" i="1"/>
  <c r="AA1234" i="1"/>
  <c r="AB1234" i="1" s="1"/>
  <c r="V1234" i="1"/>
  <c r="X1234" i="1" s="1"/>
  <c r="BJ1233" i="1"/>
  <c r="BI1233" i="1"/>
  <c r="BH1233" i="1"/>
  <c r="BE1233" i="1"/>
  <c r="AJ1233" i="1"/>
  <c r="AI1233" i="1"/>
  <c r="AG1233" i="1"/>
  <c r="AA1233" i="1"/>
  <c r="AC1233" i="1" s="1"/>
  <c r="V1233" i="1"/>
  <c r="X1233" i="1" s="1"/>
  <c r="BJ1232" i="1"/>
  <c r="BI1232" i="1"/>
  <c r="BH1232" i="1"/>
  <c r="BE1232" i="1"/>
  <c r="BM1232" i="1" s="1"/>
  <c r="AV1232" i="1"/>
  <c r="AJ1232" i="1"/>
  <c r="AI1232" i="1"/>
  <c r="AG1232" i="1"/>
  <c r="AY1232" i="1" s="1"/>
  <c r="AA1232" i="1"/>
  <c r="V1232" i="1"/>
  <c r="X1232" i="1" s="1"/>
  <c r="BJ1231" i="1"/>
  <c r="BI1231" i="1"/>
  <c r="BH1231" i="1"/>
  <c r="BE1231" i="1"/>
  <c r="AV1231" i="1"/>
  <c r="AJ1231" i="1"/>
  <c r="AI1231" i="1"/>
  <c r="AG1231" i="1"/>
  <c r="AY1231" i="1" s="1"/>
  <c r="AA1231" i="1"/>
  <c r="AC1231" i="1" s="1"/>
  <c r="V1231" i="1"/>
  <c r="X1231" i="1" s="1"/>
  <c r="AJ1230" i="1"/>
  <c r="AO1230" i="1" s="1"/>
  <c r="AI1230" i="1"/>
  <c r="AG1230" i="1"/>
  <c r="AA1230" i="1"/>
  <c r="AJ1229" i="1"/>
  <c r="AF1229" i="1"/>
  <c r="AI1229" i="1" s="1"/>
  <c r="AE1229" i="1"/>
  <c r="AA1229" i="1"/>
  <c r="AC1229" i="1" s="1"/>
  <c r="BJ1228" i="1"/>
  <c r="BI1228" i="1"/>
  <c r="BH1228" i="1"/>
  <c r="BE1228" i="1"/>
  <c r="AJ1228" i="1"/>
  <c r="AO1228" i="1" s="1"/>
  <c r="AI1228" i="1"/>
  <c r="AD1228" i="1"/>
  <c r="AA1228" i="1"/>
  <c r="V1228" i="1"/>
  <c r="X1228" i="1" s="1"/>
  <c r="BJ1227" i="1"/>
  <c r="BI1227" i="1"/>
  <c r="BH1227" i="1"/>
  <c r="BE1227" i="1"/>
  <c r="BM1227" i="1" s="1"/>
  <c r="AJ1227" i="1"/>
  <c r="AI1227" i="1"/>
  <c r="AG1227" i="1"/>
  <c r="AA1227" i="1"/>
  <c r="V1227" i="1"/>
  <c r="X1227" i="1" s="1"/>
  <c r="BJ1226" i="1"/>
  <c r="BI1226" i="1"/>
  <c r="BH1226" i="1"/>
  <c r="BE1226" i="1"/>
  <c r="AV1226" i="1"/>
  <c r="AJ1226" i="1"/>
  <c r="AI1226" i="1"/>
  <c r="AG1226" i="1"/>
  <c r="AA1226" i="1"/>
  <c r="AC1226" i="1" s="1"/>
  <c r="V1226" i="1"/>
  <c r="X1226" i="1" s="1"/>
  <c r="BJ1225" i="1"/>
  <c r="BI1225" i="1"/>
  <c r="BH1225" i="1"/>
  <c r="BE1225" i="1"/>
  <c r="BM1225" i="1" s="1"/>
  <c r="AJ1225" i="1"/>
  <c r="AI1225" i="1"/>
  <c r="AG1225" i="1"/>
  <c r="AA1225" i="1"/>
  <c r="V1225" i="1"/>
  <c r="X1225" i="1" s="1"/>
  <c r="BJ1224" i="1"/>
  <c r="BI1224" i="1"/>
  <c r="BH1224" i="1"/>
  <c r="BE1224" i="1"/>
  <c r="BM1224" i="1" s="1"/>
  <c r="AV1224" i="1"/>
  <c r="AJ1224" i="1"/>
  <c r="AI1224" i="1"/>
  <c r="AG1224" i="1"/>
  <c r="AA1224" i="1"/>
  <c r="V1224" i="1"/>
  <c r="X1224" i="1" s="1"/>
  <c r="BJ1223" i="1"/>
  <c r="BI1223" i="1"/>
  <c r="BH1223" i="1"/>
  <c r="BE1223" i="1"/>
  <c r="AV1223" i="1"/>
  <c r="AJ1223" i="1"/>
  <c r="AI1223" i="1"/>
  <c r="AG1223" i="1"/>
  <c r="AA1223" i="1"/>
  <c r="AB1223" i="1" s="1"/>
  <c r="V1223" i="1"/>
  <c r="X1223" i="1" s="1"/>
  <c r="BJ1222" i="1"/>
  <c r="BI1222" i="1"/>
  <c r="BH1222" i="1"/>
  <c r="BE1222" i="1"/>
  <c r="AJ1222" i="1"/>
  <c r="AI1222" i="1"/>
  <c r="AG1222" i="1"/>
  <c r="AA1222" i="1"/>
  <c r="V1222" i="1"/>
  <c r="X1222" i="1" s="1"/>
  <c r="BJ1221" i="1"/>
  <c r="BI1221" i="1"/>
  <c r="BH1221" i="1"/>
  <c r="BE1221" i="1"/>
  <c r="AV1221" i="1"/>
  <c r="AJ1221" i="1"/>
  <c r="AI1221" i="1"/>
  <c r="AG1221" i="1"/>
  <c r="AA1221" i="1"/>
  <c r="AC1221" i="1" s="1"/>
  <c r="V1221" i="1"/>
  <c r="X1221" i="1" s="1"/>
  <c r="BJ1220" i="1"/>
  <c r="BI1220" i="1"/>
  <c r="BH1220" i="1"/>
  <c r="BE1220" i="1"/>
  <c r="BM1220" i="1" s="1"/>
  <c r="AV1220" i="1"/>
  <c r="AJ1220" i="1"/>
  <c r="AI1220" i="1"/>
  <c r="AG1220" i="1"/>
  <c r="AA1220" i="1"/>
  <c r="AC1220" i="1" s="1"/>
  <c r="V1220" i="1"/>
  <c r="X1220" i="1" s="1"/>
  <c r="BJ1219" i="1"/>
  <c r="BI1219" i="1"/>
  <c r="BH1219" i="1"/>
  <c r="BE1219" i="1"/>
  <c r="AJ1219" i="1"/>
  <c r="AI1219" i="1"/>
  <c r="AG1219" i="1"/>
  <c r="AY1219" i="1" s="1"/>
  <c r="AA1219" i="1"/>
  <c r="AB1219" i="1" s="1"/>
  <c r="V1219" i="1"/>
  <c r="X1219" i="1" s="1"/>
  <c r="BJ1218" i="1"/>
  <c r="BI1218" i="1"/>
  <c r="BH1218" i="1"/>
  <c r="BE1218" i="1"/>
  <c r="BM1218" i="1" s="1"/>
  <c r="AJ1218" i="1"/>
  <c r="AI1218" i="1"/>
  <c r="AG1218" i="1"/>
  <c r="AA1218" i="1"/>
  <c r="AC1218" i="1" s="1"/>
  <c r="V1218" i="1"/>
  <c r="X1218" i="1" s="1"/>
  <c r="BJ1217" i="1"/>
  <c r="BI1217" i="1"/>
  <c r="BH1217" i="1"/>
  <c r="BE1217" i="1"/>
  <c r="AJ1217" i="1"/>
  <c r="AI1217" i="1"/>
  <c r="AG1217" i="1"/>
  <c r="AX1217" i="1" s="1"/>
  <c r="AA1217" i="1"/>
  <c r="AB1217" i="1" s="1"/>
  <c r="V1217" i="1"/>
  <c r="X1217" i="1" s="1"/>
  <c r="BJ1216" i="1"/>
  <c r="BI1216" i="1"/>
  <c r="BH1216" i="1"/>
  <c r="BE1216" i="1"/>
  <c r="BM1216" i="1" s="1"/>
  <c r="AJ1216" i="1"/>
  <c r="AI1216" i="1"/>
  <c r="AG1216" i="1"/>
  <c r="AY1216" i="1" s="1"/>
  <c r="AA1216" i="1"/>
  <c r="V1216" i="1"/>
  <c r="X1216" i="1" s="1"/>
  <c r="BJ1215" i="1"/>
  <c r="BI1215" i="1"/>
  <c r="BH1215" i="1"/>
  <c r="BE1215" i="1"/>
  <c r="BM1215" i="1" s="1"/>
  <c r="AV1215" i="1"/>
  <c r="AJ1215" i="1"/>
  <c r="AI1215" i="1"/>
  <c r="AG1215" i="1"/>
  <c r="AA1215" i="1"/>
  <c r="V1215" i="1"/>
  <c r="X1215" i="1" s="1"/>
  <c r="BJ1214" i="1"/>
  <c r="BI1214" i="1"/>
  <c r="BH1214" i="1"/>
  <c r="BE1214" i="1"/>
  <c r="AJ1214" i="1"/>
  <c r="AI1214" i="1"/>
  <c r="AG1214" i="1"/>
  <c r="AA1214" i="1"/>
  <c r="AB1214" i="1" s="1"/>
  <c r="V1214" i="1"/>
  <c r="X1214" i="1" s="1"/>
  <c r="BJ1213" i="1"/>
  <c r="BI1213" i="1"/>
  <c r="BH1213" i="1"/>
  <c r="BE1213" i="1"/>
  <c r="BM1213" i="1" s="1"/>
  <c r="AV1213" i="1"/>
  <c r="AJ1213" i="1"/>
  <c r="AI1213" i="1"/>
  <c r="AG1213" i="1"/>
  <c r="AA1213" i="1"/>
  <c r="AC1213" i="1" s="1"/>
  <c r="V1213" i="1"/>
  <c r="X1213" i="1" s="1"/>
  <c r="BJ1212" i="1"/>
  <c r="BI1212" i="1"/>
  <c r="BH1212" i="1"/>
  <c r="BE1212" i="1"/>
  <c r="BM1212" i="1" s="1"/>
  <c r="AV1212" i="1"/>
  <c r="AJ1212" i="1"/>
  <c r="AI1212" i="1"/>
  <c r="AG1212" i="1"/>
  <c r="AA1212" i="1"/>
  <c r="AC1212" i="1" s="1"/>
  <c r="V1212" i="1"/>
  <c r="X1212" i="1" s="1"/>
  <c r="BJ1211" i="1"/>
  <c r="BI1211" i="1"/>
  <c r="BH1211" i="1"/>
  <c r="BE1211" i="1"/>
  <c r="AJ1211" i="1"/>
  <c r="AI1211" i="1"/>
  <c r="AG1211" i="1"/>
  <c r="AA1211" i="1"/>
  <c r="AB1211" i="1" s="1"/>
  <c r="V1211" i="1"/>
  <c r="X1211" i="1" s="1"/>
  <c r="BJ1210" i="1"/>
  <c r="BI1210" i="1"/>
  <c r="BH1210" i="1"/>
  <c r="BE1210" i="1"/>
  <c r="AV1210" i="1"/>
  <c r="AJ1210" i="1"/>
  <c r="AI1210" i="1"/>
  <c r="AG1210" i="1"/>
  <c r="AX1210" i="1" s="1"/>
  <c r="AA1210" i="1"/>
  <c r="V1210" i="1"/>
  <c r="X1210" i="1" s="1"/>
  <c r="A1210" i="1"/>
  <c r="A1276" i="1" s="1"/>
  <c r="BJ1209" i="1"/>
  <c r="BI1209" i="1"/>
  <c r="BH1209" i="1"/>
  <c r="BE1209" i="1"/>
  <c r="BM1209" i="1" s="1"/>
  <c r="AV1209" i="1"/>
  <c r="AJ1209" i="1"/>
  <c r="AI1209" i="1"/>
  <c r="AG1209" i="1"/>
  <c r="AY1209" i="1" s="1"/>
  <c r="AA1209" i="1"/>
  <c r="V1209" i="1"/>
  <c r="X1209" i="1" s="1"/>
  <c r="BJ1208" i="1"/>
  <c r="BI1208" i="1"/>
  <c r="BH1208" i="1"/>
  <c r="BE1208" i="1"/>
  <c r="AV1208" i="1"/>
  <c r="AJ1208" i="1"/>
  <c r="AI1208" i="1"/>
  <c r="AG1208" i="1"/>
  <c r="AY1208" i="1" s="1"/>
  <c r="AA1208" i="1"/>
  <c r="V1208" i="1"/>
  <c r="X1208" i="1" s="1"/>
  <c r="BJ1207" i="1"/>
  <c r="BI1207" i="1"/>
  <c r="BH1207" i="1"/>
  <c r="BE1207" i="1"/>
  <c r="AV1207" i="1"/>
  <c r="AJ1207" i="1"/>
  <c r="AI1207" i="1"/>
  <c r="AG1207" i="1"/>
  <c r="AY1207" i="1" s="1"/>
  <c r="AA1207" i="1"/>
  <c r="AC1207" i="1" s="1"/>
  <c r="V1207" i="1"/>
  <c r="X1207" i="1" s="1"/>
  <c r="AJ1206" i="1"/>
  <c r="AI1206" i="1"/>
  <c r="AG1206" i="1"/>
  <c r="AA1206" i="1"/>
  <c r="AC1206" i="1" s="1"/>
  <c r="BJ1205" i="1"/>
  <c r="BI1205" i="1"/>
  <c r="BH1205" i="1"/>
  <c r="BE1205" i="1"/>
  <c r="AJ1205" i="1"/>
  <c r="AF1205" i="1"/>
  <c r="AI1205" i="1" s="1"/>
  <c r="AE1205" i="1"/>
  <c r="AD1205" i="1"/>
  <c r="AA1205" i="1"/>
  <c r="V1205" i="1"/>
  <c r="X1205" i="1" s="1"/>
  <c r="AJ1204" i="1"/>
  <c r="AI1204" i="1"/>
  <c r="AG1204" i="1"/>
  <c r="AA1204" i="1"/>
  <c r="AC1204" i="1" s="1"/>
  <c r="BJ1203" i="1"/>
  <c r="BI1203" i="1"/>
  <c r="BH1203" i="1"/>
  <c r="BE1203" i="1"/>
  <c r="AJ1203" i="1"/>
  <c r="AF1203" i="1"/>
  <c r="AE1203" i="1"/>
  <c r="AD1203" i="1"/>
  <c r="AA1203" i="1"/>
  <c r="V1203" i="1"/>
  <c r="X1203" i="1" s="1"/>
  <c r="BJ1202" i="1"/>
  <c r="BI1202" i="1"/>
  <c r="BH1202" i="1"/>
  <c r="BE1202" i="1"/>
  <c r="BM1202" i="1" s="1"/>
  <c r="AV1202" i="1"/>
  <c r="AJ1202" i="1"/>
  <c r="AO1202" i="1" s="1"/>
  <c r="AI1202" i="1"/>
  <c r="AG1202" i="1"/>
  <c r="AY1202" i="1" s="1"/>
  <c r="AA1202" i="1"/>
  <c r="AB1202" i="1" s="1"/>
  <c r="V1202" i="1"/>
  <c r="X1202" i="1" s="1"/>
  <c r="BJ1201" i="1"/>
  <c r="BI1201" i="1"/>
  <c r="BH1201" i="1"/>
  <c r="BE1201" i="1"/>
  <c r="BM1201" i="1" s="1"/>
  <c r="AJ1201" i="1"/>
  <c r="AI1201" i="1"/>
  <c r="AG1201" i="1"/>
  <c r="AX1201" i="1" s="1"/>
  <c r="AA1201" i="1"/>
  <c r="AC1201" i="1" s="1"/>
  <c r="V1201" i="1"/>
  <c r="X1201" i="1" s="1"/>
  <c r="BJ1200" i="1"/>
  <c r="BI1200" i="1"/>
  <c r="BH1200" i="1"/>
  <c r="BE1200" i="1"/>
  <c r="AJ1200" i="1"/>
  <c r="AI1200" i="1"/>
  <c r="AG1200" i="1"/>
  <c r="AY1200" i="1" s="1"/>
  <c r="AA1200" i="1"/>
  <c r="V1200" i="1"/>
  <c r="X1200" i="1" s="1"/>
  <c r="BJ1199" i="1"/>
  <c r="BI1199" i="1"/>
  <c r="BH1199" i="1"/>
  <c r="BE1199" i="1"/>
  <c r="BM1199" i="1" s="1"/>
  <c r="AJ1199" i="1"/>
  <c r="AI1199" i="1"/>
  <c r="AG1199" i="1"/>
  <c r="AA1199" i="1"/>
  <c r="V1199" i="1"/>
  <c r="X1199" i="1" s="1"/>
  <c r="BJ1198" i="1"/>
  <c r="BI1198" i="1"/>
  <c r="BH1198" i="1"/>
  <c r="BE1198" i="1"/>
  <c r="AJ1198" i="1"/>
  <c r="AI1198" i="1"/>
  <c r="AG1198" i="1"/>
  <c r="AA1198" i="1"/>
  <c r="AB1198" i="1" s="1"/>
  <c r="V1198" i="1"/>
  <c r="X1198" i="1" s="1"/>
  <c r="BJ1197" i="1"/>
  <c r="BI1197" i="1"/>
  <c r="BH1197" i="1"/>
  <c r="BE1197" i="1"/>
  <c r="BM1197" i="1" s="1"/>
  <c r="AJ1197" i="1"/>
  <c r="AI1197" i="1"/>
  <c r="AG1197" i="1"/>
  <c r="AX1197" i="1" s="1"/>
  <c r="AA1197" i="1"/>
  <c r="AC1197" i="1" s="1"/>
  <c r="V1197" i="1"/>
  <c r="X1197" i="1" s="1"/>
  <c r="BJ1196" i="1"/>
  <c r="BI1196" i="1"/>
  <c r="BH1196" i="1"/>
  <c r="BE1196" i="1"/>
  <c r="AJ1196" i="1"/>
  <c r="AI1196" i="1"/>
  <c r="AG1196" i="1"/>
  <c r="AY1196" i="1" s="1"/>
  <c r="AA1196" i="1"/>
  <c r="V1196" i="1"/>
  <c r="X1196" i="1" s="1"/>
  <c r="AJ1195" i="1"/>
  <c r="AO1195" i="1" s="1"/>
  <c r="AI1195" i="1"/>
  <c r="AG1195" i="1"/>
  <c r="AA1195" i="1"/>
  <c r="BJ1194" i="1"/>
  <c r="BI1194" i="1"/>
  <c r="BH1194" i="1"/>
  <c r="BE1194" i="1"/>
  <c r="BM1194" i="1" s="1"/>
  <c r="AJ1194" i="1"/>
  <c r="AF1194" i="1"/>
  <c r="AI1194" i="1" s="1"/>
  <c r="AE1194" i="1"/>
  <c r="AD1194" i="1"/>
  <c r="AA1194" i="1"/>
  <c r="V1194" i="1"/>
  <c r="X1194" i="1" s="1"/>
  <c r="BJ1193" i="1"/>
  <c r="BI1193" i="1"/>
  <c r="BH1193" i="1"/>
  <c r="BE1193" i="1"/>
  <c r="BM1193" i="1" s="1"/>
  <c r="AJ1193" i="1"/>
  <c r="AI1193" i="1"/>
  <c r="AG1193" i="1"/>
  <c r="AA1193" i="1"/>
  <c r="AC1193" i="1" s="1"/>
  <c r="V1193" i="1"/>
  <c r="X1193" i="1" s="1"/>
  <c r="BJ1192" i="1"/>
  <c r="BI1192" i="1"/>
  <c r="BH1192" i="1"/>
  <c r="BE1192" i="1"/>
  <c r="AJ1192" i="1"/>
  <c r="AI1192" i="1"/>
  <c r="AG1192" i="1"/>
  <c r="AY1192" i="1" s="1"/>
  <c r="AA1192" i="1"/>
  <c r="AB1192" i="1" s="1"/>
  <c r="V1192" i="1"/>
  <c r="X1192" i="1" s="1"/>
  <c r="BJ1191" i="1"/>
  <c r="BI1191" i="1"/>
  <c r="BH1191" i="1"/>
  <c r="BE1191" i="1"/>
  <c r="AJ1191" i="1"/>
  <c r="AI1191" i="1"/>
  <c r="AG1191" i="1"/>
  <c r="AX1191" i="1" s="1"/>
  <c r="AA1191" i="1"/>
  <c r="V1191" i="1"/>
  <c r="X1191" i="1" s="1"/>
  <c r="BJ1190" i="1"/>
  <c r="BI1190" i="1"/>
  <c r="BH1190" i="1"/>
  <c r="BE1190" i="1"/>
  <c r="AV1190" i="1"/>
  <c r="AJ1190" i="1"/>
  <c r="AI1190" i="1"/>
  <c r="AG1190" i="1"/>
  <c r="AY1190" i="1" s="1"/>
  <c r="AA1190" i="1"/>
  <c r="AC1190" i="1" s="1"/>
  <c r="V1190" i="1"/>
  <c r="X1190" i="1" s="1"/>
  <c r="BJ1189" i="1"/>
  <c r="BI1189" i="1"/>
  <c r="BH1189" i="1"/>
  <c r="BE1189" i="1"/>
  <c r="BM1189" i="1" s="1"/>
  <c r="AV1189" i="1"/>
  <c r="AJ1189" i="1"/>
  <c r="AI1189" i="1"/>
  <c r="AG1189" i="1"/>
  <c r="AY1189" i="1" s="1"/>
  <c r="AA1189" i="1"/>
  <c r="AC1189" i="1" s="1"/>
  <c r="V1189" i="1"/>
  <c r="X1189" i="1" s="1"/>
  <c r="BJ1188" i="1"/>
  <c r="BI1188" i="1"/>
  <c r="BH1188" i="1"/>
  <c r="BE1188" i="1"/>
  <c r="AJ1188" i="1"/>
  <c r="AI1188" i="1"/>
  <c r="AG1188" i="1"/>
  <c r="AY1188" i="1" s="1"/>
  <c r="AA1188" i="1"/>
  <c r="AB1188" i="1" s="1"/>
  <c r="V1188" i="1"/>
  <c r="X1188" i="1" s="1"/>
  <c r="BJ1187" i="1"/>
  <c r="BI1187" i="1"/>
  <c r="BH1187" i="1"/>
  <c r="BE1187" i="1"/>
  <c r="AJ1187" i="1"/>
  <c r="AO1187" i="1" s="1"/>
  <c r="AI1187" i="1"/>
  <c r="AG1187" i="1"/>
  <c r="AX1187" i="1" s="1"/>
  <c r="AA1187" i="1"/>
  <c r="AB1187" i="1" s="1"/>
  <c r="V1187" i="1"/>
  <c r="X1187" i="1" s="1"/>
  <c r="BJ1186" i="1"/>
  <c r="BI1186" i="1"/>
  <c r="BH1186" i="1"/>
  <c r="BE1186" i="1"/>
  <c r="BM1186" i="1" s="1"/>
  <c r="AJ1186" i="1"/>
  <c r="AI1186" i="1"/>
  <c r="AG1186" i="1"/>
  <c r="AA1186" i="1"/>
  <c r="AC1186" i="1" s="1"/>
  <c r="V1186" i="1"/>
  <c r="X1186" i="1" s="1"/>
  <c r="BJ1185" i="1"/>
  <c r="BI1185" i="1"/>
  <c r="BH1185" i="1"/>
  <c r="BE1185" i="1"/>
  <c r="AV1185" i="1"/>
  <c r="AJ1185" i="1"/>
  <c r="AO1185" i="1" s="1"/>
  <c r="AI1185" i="1"/>
  <c r="AG1185" i="1"/>
  <c r="AA1185" i="1"/>
  <c r="AB1185" i="1" s="1"/>
  <c r="V1185" i="1"/>
  <c r="X1185" i="1" s="1"/>
  <c r="BJ1184" i="1"/>
  <c r="BI1184" i="1"/>
  <c r="BH1184" i="1"/>
  <c r="BE1184" i="1"/>
  <c r="BM1184" i="1" s="1"/>
  <c r="AJ1184" i="1"/>
  <c r="AI1184" i="1"/>
  <c r="AG1184" i="1"/>
  <c r="AX1184" i="1" s="1"/>
  <c r="AA1184" i="1"/>
  <c r="V1184" i="1"/>
  <c r="X1184" i="1" s="1"/>
  <c r="BJ1183" i="1"/>
  <c r="BI1183" i="1"/>
  <c r="BH1183" i="1"/>
  <c r="BE1183" i="1"/>
  <c r="AV1183" i="1"/>
  <c r="AJ1183" i="1"/>
  <c r="AI1183" i="1"/>
  <c r="AG1183" i="1"/>
  <c r="AA1183" i="1"/>
  <c r="AC1183" i="1" s="1"/>
  <c r="V1183" i="1"/>
  <c r="X1183" i="1" s="1"/>
  <c r="BJ1182" i="1"/>
  <c r="BI1182" i="1"/>
  <c r="BH1182" i="1"/>
  <c r="BE1182" i="1"/>
  <c r="AJ1182" i="1"/>
  <c r="AI1182" i="1"/>
  <c r="AG1182" i="1"/>
  <c r="AY1182" i="1" s="1"/>
  <c r="AA1182" i="1"/>
  <c r="V1182" i="1"/>
  <c r="X1182" i="1" s="1"/>
  <c r="BJ1181" i="1"/>
  <c r="BI1181" i="1"/>
  <c r="BH1181" i="1"/>
  <c r="BE1181" i="1"/>
  <c r="BM1181" i="1" s="1"/>
  <c r="AJ1181" i="1"/>
  <c r="AI1181" i="1"/>
  <c r="AG1181" i="1"/>
  <c r="AY1181" i="1" s="1"/>
  <c r="AA1181" i="1"/>
  <c r="V1181" i="1"/>
  <c r="X1181" i="1" s="1"/>
  <c r="BJ1180" i="1"/>
  <c r="BI1180" i="1"/>
  <c r="BH1180" i="1"/>
  <c r="BE1180" i="1"/>
  <c r="BM1180" i="1" s="1"/>
  <c r="AJ1180" i="1"/>
  <c r="AI1180" i="1"/>
  <c r="AG1180" i="1"/>
  <c r="AA1180" i="1"/>
  <c r="V1180" i="1"/>
  <c r="X1180" i="1" s="1"/>
  <c r="AJ1179" i="1"/>
  <c r="AI1179" i="1"/>
  <c r="AG1179" i="1"/>
  <c r="AA1179" i="1"/>
  <c r="AB1179" i="1" s="1"/>
  <c r="BJ1178" i="1"/>
  <c r="BI1178" i="1"/>
  <c r="BH1178" i="1"/>
  <c r="BE1178" i="1"/>
  <c r="AV1178" i="1"/>
  <c r="AJ1178" i="1"/>
  <c r="AF1178" i="1"/>
  <c r="AE1178" i="1"/>
  <c r="AD1178" i="1"/>
  <c r="AA1178" i="1"/>
  <c r="V1178" i="1"/>
  <c r="X1178" i="1" s="1"/>
  <c r="BJ1177" i="1"/>
  <c r="BI1177" i="1"/>
  <c r="BH1177" i="1"/>
  <c r="BE1177" i="1"/>
  <c r="AJ1177" i="1"/>
  <c r="AI1177" i="1"/>
  <c r="AG1177" i="1"/>
  <c r="AY1177" i="1" s="1"/>
  <c r="AA1177" i="1"/>
  <c r="V1177" i="1"/>
  <c r="X1177" i="1" s="1"/>
  <c r="BJ1176" i="1"/>
  <c r="BI1176" i="1"/>
  <c r="BH1176" i="1"/>
  <c r="BE1176" i="1"/>
  <c r="BM1176" i="1" s="1"/>
  <c r="AV1176" i="1"/>
  <c r="AJ1176" i="1"/>
  <c r="AI1176" i="1"/>
  <c r="AG1176" i="1"/>
  <c r="AA1176" i="1"/>
  <c r="AC1176" i="1" s="1"/>
  <c r="V1176" i="1"/>
  <c r="X1176" i="1" s="1"/>
  <c r="BJ1175" i="1"/>
  <c r="BI1175" i="1"/>
  <c r="BH1175" i="1"/>
  <c r="BE1175" i="1"/>
  <c r="AJ1175" i="1"/>
  <c r="AO1175" i="1" s="1"/>
  <c r="AI1175" i="1"/>
  <c r="AG1175" i="1"/>
  <c r="AY1175" i="1" s="1"/>
  <c r="AA1175" i="1"/>
  <c r="AB1175" i="1" s="1"/>
  <c r="V1175" i="1"/>
  <c r="X1175" i="1" s="1"/>
  <c r="BJ1174" i="1"/>
  <c r="BI1174" i="1"/>
  <c r="BH1174" i="1"/>
  <c r="BE1174" i="1"/>
  <c r="BM1174" i="1" s="1"/>
  <c r="AV1174" i="1"/>
  <c r="AJ1174" i="1"/>
  <c r="AI1174" i="1"/>
  <c r="AG1174" i="1"/>
  <c r="AA1174" i="1"/>
  <c r="AC1174" i="1" s="1"/>
  <c r="V1174" i="1"/>
  <c r="X1174" i="1" s="1"/>
  <c r="BJ1173" i="1"/>
  <c r="BI1173" i="1"/>
  <c r="BH1173" i="1"/>
  <c r="BE1173" i="1"/>
  <c r="AJ1173" i="1"/>
  <c r="AI1173" i="1"/>
  <c r="AG1173" i="1"/>
  <c r="AY1173" i="1" s="1"/>
  <c r="AA1173" i="1"/>
  <c r="AC1173" i="1" s="1"/>
  <c r="V1173" i="1"/>
  <c r="X1173" i="1" s="1"/>
  <c r="BJ1172" i="1"/>
  <c r="BI1172" i="1"/>
  <c r="BH1172" i="1"/>
  <c r="BE1172" i="1"/>
  <c r="BM1172" i="1" s="1"/>
  <c r="AJ1172" i="1"/>
  <c r="AI1172" i="1"/>
  <c r="AG1172" i="1"/>
  <c r="AX1172" i="1" s="1"/>
  <c r="AA1172" i="1"/>
  <c r="AC1172" i="1" s="1"/>
  <c r="V1172" i="1"/>
  <c r="X1172" i="1" s="1"/>
  <c r="BJ1171" i="1"/>
  <c r="BI1171" i="1"/>
  <c r="BH1171" i="1"/>
  <c r="BE1171" i="1"/>
  <c r="AJ1171" i="1"/>
  <c r="AI1171" i="1"/>
  <c r="AG1171" i="1"/>
  <c r="AY1171" i="1" s="1"/>
  <c r="AA1171" i="1"/>
  <c r="AB1171" i="1" s="1"/>
  <c r="V1171" i="1"/>
  <c r="X1171" i="1" s="1"/>
  <c r="AJ1170" i="1"/>
  <c r="AO1170" i="1" s="1"/>
  <c r="AI1170" i="1"/>
  <c r="AG1170" i="1"/>
  <c r="AA1170" i="1"/>
  <c r="AB1170" i="1" s="1"/>
  <c r="BJ1169" i="1"/>
  <c r="BI1169" i="1"/>
  <c r="BH1169" i="1"/>
  <c r="BE1169" i="1"/>
  <c r="AJ1169" i="1"/>
  <c r="AF1169" i="1"/>
  <c r="AI1169" i="1" s="1"/>
  <c r="AE1169" i="1"/>
  <c r="AD1169" i="1"/>
  <c r="AA1169" i="1"/>
  <c r="V1169" i="1"/>
  <c r="X1169" i="1" s="1"/>
  <c r="BJ1168" i="1"/>
  <c r="BI1168" i="1"/>
  <c r="BH1168" i="1"/>
  <c r="BE1168" i="1"/>
  <c r="AJ1168" i="1"/>
  <c r="AI1168" i="1"/>
  <c r="AG1168" i="1"/>
  <c r="AC1168" i="1"/>
  <c r="AB1168" i="1"/>
  <c r="V1168" i="1"/>
  <c r="X1168" i="1" s="1"/>
  <c r="BJ1167" i="1"/>
  <c r="BI1167" i="1"/>
  <c r="BH1167" i="1"/>
  <c r="BE1167" i="1"/>
  <c r="AV1167" i="1"/>
  <c r="AJ1167" i="1"/>
  <c r="AI1167" i="1"/>
  <c r="AG1167" i="1"/>
  <c r="AA1167" i="1"/>
  <c r="AC1167" i="1" s="1"/>
  <c r="V1167" i="1"/>
  <c r="X1167" i="1" s="1"/>
  <c r="BJ1166" i="1"/>
  <c r="BI1166" i="1"/>
  <c r="BH1166" i="1"/>
  <c r="BE1166" i="1"/>
  <c r="AV1166" i="1"/>
  <c r="AJ1166" i="1"/>
  <c r="AI1166" i="1"/>
  <c r="AG1166" i="1"/>
  <c r="AY1166" i="1" s="1"/>
  <c r="AA1166" i="1"/>
  <c r="AC1166" i="1" s="1"/>
  <c r="V1166" i="1"/>
  <c r="X1166" i="1" s="1"/>
  <c r="BJ1165" i="1"/>
  <c r="BI1165" i="1"/>
  <c r="BH1165" i="1"/>
  <c r="BE1165" i="1"/>
  <c r="BM1165" i="1" s="1"/>
  <c r="AV1165" i="1"/>
  <c r="AJ1165" i="1"/>
  <c r="AI1165" i="1"/>
  <c r="AG1165" i="1"/>
  <c r="AY1165" i="1" s="1"/>
  <c r="AA1165" i="1"/>
  <c r="V1165" i="1"/>
  <c r="X1165" i="1" s="1"/>
  <c r="BJ1164" i="1"/>
  <c r="BI1164" i="1"/>
  <c r="BH1164" i="1"/>
  <c r="BE1164" i="1"/>
  <c r="BM1164" i="1" s="1"/>
  <c r="AV1164" i="1"/>
  <c r="AJ1164" i="1"/>
  <c r="AI1164" i="1"/>
  <c r="AG1164" i="1"/>
  <c r="AA1164" i="1"/>
  <c r="V1164" i="1"/>
  <c r="X1164" i="1" s="1"/>
  <c r="BJ1163" i="1"/>
  <c r="BI1163" i="1"/>
  <c r="BH1163" i="1"/>
  <c r="BE1163" i="1"/>
  <c r="BM1163" i="1" s="1"/>
  <c r="AJ1163" i="1"/>
  <c r="AI1163" i="1"/>
  <c r="AG1163" i="1"/>
  <c r="AX1163" i="1" s="1"/>
  <c r="AA1163" i="1"/>
  <c r="V1163" i="1"/>
  <c r="X1163" i="1" s="1"/>
  <c r="BJ1162" i="1"/>
  <c r="BI1162" i="1"/>
  <c r="BH1162" i="1"/>
  <c r="BE1162" i="1"/>
  <c r="AV1162" i="1"/>
  <c r="AJ1162" i="1"/>
  <c r="AI1162" i="1"/>
  <c r="AG1162" i="1"/>
  <c r="AA1162" i="1"/>
  <c r="AB1162" i="1" s="1"/>
  <c r="V1162" i="1"/>
  <c r="X1162" i="1" s="1"/>
  <c r="AJ1161" i="1"/>
  <c r="AO1161" i="1" s="1"/>
  <c r="AI1161" i="1"/>
  <c r="AG1161" i="1"/>
  <c r="AA1161" i="1"/>
  <c r="AJ1160" i="1"/>
  <c r="AO1160" i="1" s="1"/>
  <c r="AI1160" i="1"/>
  <c r="AG1160" i="1"/>
  <c r="AA1160" i="1"/>
  <c r="AC1160" i="1" s="1"/>
  <c r="BJ1159" i="1"/>
  <c r="BI1159" i="1"/>
  <c r="BH1159" i="1"/>
  <c r="BE1159" i="1"/>
  <c r="AV1159" i="1"/>
  <c r="AJ1159" i="1"/>
  <c r="AO1159" i="1" s="1"/>
  <c r="AI1159" i="1"/>
  <c r="AD1159" i="1"/>
  <c r="AA1159" i="1"/>
  <c r="V1159" i="1"/>
  <c r="X1159" i="1" s="1"/>
  <c r="BJ1158" i="1"/>
  <c r="BI1158" i="1"/>
  <c r="BH1158" i="1"/>
  <c r="BE1158" i="1"/>
  <c r="AV1158" i="1"/>
  <c r="AJ1158" i="1"/>
  <c r="AI1158" i="1"/>
  <c r="AG1158" i="1"/>
  <c r="AA1158" i="1"/>
  <c r="AB1158" i="1" s="1"/>
  <c r="V1158" i="1"/>
  <c r="X1158" i="1" s="1"/>
  <c r="BJ1157" i="1"/>
  <c r="BI1157" i="1"/>
  <c r="BH1157" i="1"/>
  <c r="BE1157" i="1"/>
  <c r="AV1157" i="1"/>
  <c r="AJ1157" i="1"/>
  <c r="AO1157" i="1" s="1"/>
  <c r="AI1157" i="1"/>
  <c r="AG1157" i="1"/>
  <c r="AA1157" i="1"/>
  <c r="AC1157" i="1" s="1"/>
  <c r="V1157" i="1"/>
  <c r="X1157" i="1" s="1"/>
  <c r="BJ1156" i="1"/>
  <c r="BI1156" i="1"/>
  <c r="BH1156" i="1"/>
  <c r="BE1156" i="1"/>
  <c r="BM1156" i="1" s="1"/>
  <c r="AJ1156" i="1"/>
  <c r="AI1156" i="1"/>
  <c r="AG1156" i="1"/>
  <c r="AY1156" i="1" s="1"/>
  <c r="AA1156" i="1"/>
  <c r="V1156" i="1"/>
  <c r="X1156" i="1" s="1"/>
  <c r="BJ1155" i="1"/>
  <c r="BI1155" i="1"/>
  <c r="BH1155" i="1"/>
  <c r="BE1155" i="1"/>
  <c r="AV1155" i="1"/>
  <c r="AJ1155" i="1"/>
  <c r="AI1155" i="1"/>
  <c r="AG1155" i="1"/>
  <c r="AA1155" i="1"/>
  <c r="AB1155" i="1" s="1"/>
  <c r="V1155" i="1"/>
  <c r="X1155" i="1" s="1"/>
  <c r="BJ1154" i="1"/>
  <c r="BI1154" i="1"/>
  <c r="BH1154" i="1"/>
  <c r="BE1154" i="1"/>
  <c r="BM1154" i="1" s="1"/>
  <c r="AV1154" i="1"/>
  <c r="AJ1154" i="1"/>
  <c r="AI1154" i="1"/>
  <c r="AG1154" i="1"/>
  <c r="AX1154" i="1" s="1"/>
  <c r="AA1154" i="1"/>
  <c r="V1154" i="1"/>
  <c r="X1154" i="1" s="1"/>
  <c r="BJ1153" i="1"/>
  <c r="BI1153" i="1"/>
  <c r="BH1153" i="1"/>
  <c r="BE1153" i="1"/>
  <c r="AV1153" i="1"/>
  <c r="AJ1153" i="1"/>
  <c r="AO1153" i="1" s="1"/>
  <c r="AI1153" i="1"/>
  <c r="AG1153" i="1"/>
  <c r="AX1153" i="1" s="1"/>
  <c r="AA1153" i="1"/>
  <c r="V1153" i="1"/>
  <c r="X1153" i="1" s="1"/>
  <c r="BJ1152" i="1"/>
  <c r="BI1152" i="1"/>
  <c r="BH1152" i="1"/>
  <c r="BE1152" i="1"/>
  <c r="BM1152" i="1" s="1"/>
  <c r="AJ1152" i="1"/>
  <c r="AI1152" i="1"/>
  <c r="AG1152" i="1"/>
  <c r="AA1152" i="1"/>
  <c r="V1152" i="1"/>
  <c r="X1152" i="1" s="1"/>
  <c r="BJ1151" i="1"/>
  <c r="BI1151" i="1"/>
  <c r="BH1151" i="1"/>
  <c r="BE1151" i="1"/>
  <c r="BM1151" i="1" s="1"/>
  <c r="AJ1151" i="1"/>
  <c r="AI1151" i="1"/>
  <c r="AG1151" i="1"/>
  <c r="AA1151" i="1"/>
  <c r="AC1151" i="1" s="1"/>
  <c r="V1151" i="1"/>
  <c r="X1151" i="1" s="1"/>
  <c r="BJ1150" i="1"/>
  <c r="BI1150" i="1"/>
  <c r="BH1150" i="1"/>
  <c r="BE1150" i="1"/>
  <c r="AV1150" i="1"/>
  <c r="AJ1150" i="1"/>
  <c r="AI1150" i="1"/>
  <c r="AG1150" i="1"/>
  <c r="AY1150" i="1" s="1"/>
  <c r="AA1150" i="1"/>
  <c r="AC1150" i="1" s="1"/>
  <c r="V1150" i="1"/>
  <c r="X1150" i="1" s="1"/>
  <c r="BJ1149" i="1"/>
  <c r="BI1149" i="1"/>
  <c r="BH1149" i="1"/>
  <c r="BE1149" i="1"/>
  <c r="AJ1149" i="1"/>
  <c r="AI1149" i="1"/>
  <c r="AG1149" i="1"/>
  <c r="AA1149" i="1"/>
  <c r="AC1149" i="1" s="1"/>
  <c r="V1149" i="1"/>
  <c r="X1149" i="1" s="1"/>
  <c r="BJ1148" i="1"/>
  <c r="BI1148" i="1"/>
  <c r="BH1148" i="1"/>
  <c r="BE1148" i="1"/>
  <c r="AV1148" i="1"/>
  <c r="AJ1148" i="1"/>
  <c r="AI1148" i="1"/>
  <c r="AG1148" i="1"/>
  <c r="AA1148" i="1"/>
  <c r="AC1148" i="1" s="1"/>
  <c r="V1148" i="1"/>
  <c r="X1148" i="1" s="1"/>
  <c r="BJ1147" i="1"/>
  <c r="BI1147" i="1"/>
  <c r="BH1147" i="1"/>
  <c r="BE1147" i="1"/>
  <c r="AJ1147" i="1"/>
  <c r="AI1147" i="1"/>
  <c r="AG1147" i="1"/>
  <c r="AA1147" i="1"/>
  <c r="V1147" i="1"/>
  <c r="X1147" i="1" s="1"/>
  <c r="BJ1146" i="1"/>
  <c r="BI1146" i="1"/>
  <c r="BH1146" i="1"/>
  <c r="BE1146" i="1"/>
  <c r="AV1146" i="1"/>
  <c r="AJ1146" i="1"/>
  <c r="AI1146" i="1"/>
  <c r="AG1146" i="1"/>
  <c r="AA1146" i="1"/>
  <c r="AC1146" i="1" s="1"/>
  <c r="V1146" i="1"/>
  <c r="X1146" i="1" s="1"/>
  <c r="BJ1145" i="1"/>
  <c r="BI1145" i="1"/>
  <c r="BH1145" i="1"/>
  <c r="BE1145" i="1"/>
  <c r="AV1145" i="1"/>
  <c r="AJ1145" i="1"/>
  <c r="AI1145" i="1"/>
  <c r="AG1145" i="1"/>
  <c r="AX1145" i="1" s="1"/>
  <c r="AA1145" i="1"/>
  <c r="AC1145" i="1" s="1"/>
  <c r="V1145" i="1"/>
  <c r="X1145" i="1" s="1"/>
  <c r="BJ1144" i="1"/>
  <c r="BI1144" i="1"/>
  <c r="BH1144" i="1"/>
  <c r="BE1144" i="1"/>
  <c r="BM1144" i="1" s="1"/>
  <c r="AV1144" i="1"/>
  <c r="AJ1144" i="1"/>
  <c r="AI1144" i="1"/>
  <c r="AG1144" i="1"/>
  <c r="AY1144" i="1" s="1"/>
  <c r="AA1144" i="1"/>
  <c r="V1144" i="1"/>
  <c r="X1144" i="1" s="1"/>
  <c r="BJ1143" i="1"/>
  <c r="BI1143" i="1"/>
  <c r="BH1143" i="1"/>
  <c r="BE1143" i="1"/>
  <c r="BM1143" i="1" s="1"/>
  <c r="AJ1143" i="1"/>
  <c r="AI1143" i="1"/>
  <c r="AG1143" i="1"/>
  <c r="AA1143" i="1"/>
  <c r="AC1143" i="1" s="1"/>
  <c r="V1143" i="1"/>
  <c r="X1143" i="1" s="1"/>
  <c r="BJ1142" i="1"/>
  <c r="BI1142" i="1"/>
  <c r="BH1142" i="1"/>
  <c r="BE1142" i="1"/>
  <c r="AJ1142" i="1"/>
  <c r="AI1142" i="1"/>
  <c r="AG1142" i="1"/>
  <c r="AA1142" i="1"/>
  <c r="AB1142" i="1" s="1"/>
  <c r="V1142" i="1"/>
  <c r="X1142" i="1" s="1"/>
  <c r="BJ1141" i="1"/>
  <c r="BI1141" i="1"/>
  <c r="BH1141" i="1"/>
  <c r="BE1141" i="1"/>
  <c r="AV1141" i="1"/>
  <c r="AJ1141" i="1"/>
  <c r="AI1141" i="1"/>
  <c r="AG1141" i="1"/>
  <c r="AA1141" i="1"/>
  <c r="V1141" i="1"/>
  <c r="X1141" i="1" s="1"/>
  <c r="BJ1140" i="1"/>
  <c r="BI1140" i="1"/>
  <c r="BH1140" i="1"/>
  <c r="BE1140" i="1"/>
  <c r="AJ1140" i="1"/>
  <c r="AI1140" i="1"/>
  <c r="AG1140" i="1"/>
  <c r="AX1140" i="1" s="1"/>
  <c r="AA1140" i="1"/>
  <c r="AB1140" i="1" s="1"/>
  <c r="V1140" i="1"/>
  <c r="X1140" i="1" s="1"/>
  <c r="BJ1139" i="1"/>
  <c r="BI1139" i="1"/>
  <c r="BH1139" i="1"/>
  <c r="BE1139" i="1"/>
  <c r="BM1139" i="1" s="1"/>
  <c r="AJ1139" i="1"/>
  <c r="AO1139" i="1" s="1"/>
  <c r="AI1139" i="1"/>
  <c r="AG1139" i="1"/>
  <c r="AA1139" i="1"/>
  <c r="AC1139" i="1" s="1"/>
  <c r="V1139" i="1"/>
  <c r="X1139" i="1" s="1"/>
  <c r="BJ1138" i="1"/>
  <c r="BI1138" i="1"/>
  <c r="BH1138" i="1"/>
  <c r="BE1138" i="1"/>
  <c r="BM1138" i="1" s="1"/>
  <c r="AV1138" i="1"/>
  <c r="AJ1138" i="1"/>
  <c r="AI1138" i="1"/>
  <c r="AG1138" i="1"/>
  <c r="AA1138" i="1"/>
  <c r="V1138" i="1"/>
  <c r="X1138" i="1" s="1"/>
  <c r="BJ1137" i="1"/>
  <c r="BI1137" i="1"/>
  <c r="BH1137" i="1"/>
  <c r="BE1137" i="1"/>
  <c r="BM1137" i="1" s="1"/>
  <c r="AJ1137" i="1"/>
  <c r="AI1137" i="1"/>
  <c r="AG1137" i="1"/>
  <c r="AY1137" i="1" s="1"/>
  <c r="AA1137" i="1"/>
  <c r="AC1137" i="1" s="1"/>
  <c r="V1137" i="1"/>
  <c r="X1137" i="1" s="1"/>
  <c r="BJ1136" i="1"/>
  <c r="BI1136" i="1"/>
  <c r="BH1136" i="1"/>
  <c r="BE1136" i="1"/>
  <c r="BM1136" i="1" s="1"/>
  <c r="AJ1136" i="1"/>
  <c r="AI1136" i="1"/>
  <c r="AG1136" i="1"/>
  <c r="AA1136" i="1"/>
  <c r="AB1136" i="1" s="1"/>
  <c r="V1136" i="1"/>
  <c r="X1136" i="1" s="1"/>
  <c r="BJ1135" i="1"/>
  <c r="BI1135" i="1"/>
  <c r="BH1135" i="1"/>
  <c r="BE1135" i="1"/>
  <c r="BM1135" i="1" s="1"/>
  <c r="AV1135" i="1"/>
  <c r="AJ1135" i="1"/>
  <c r="AI1135" i="1"/>
  <c r="AG1135" i="1"/>
  <c r="AX1135" i="1" s="1"/>
  <c r="AA1135" i="1"/>
  <c r="AB1135" i="1" s="1"/>
  <c r="V1135" i="1"/>
  <c r="X1135" i="1" s="1"/>
  <c r="BJ1134" i="1"/>
  <c r="BI1134" i="1"/>
  <c r="BH1134" i="1"/>
  <c r="BE1134" i="1"/>
  <c r="AJ1134" i="1"/>
  <c r="AI1134" i="1"/>
  <c r="AG1134" i="1"/>
  <c r="AX1134" i="1" s="1"/>
  <c r="AA1134" i="1"/>
  <c r="AC1134" i="1" s="1"/>
  <c r="V1134" i="1"/>
  <c r="X1134" i="1" s="1"/>
  <c r="AJ1133" i="1"/>
  <c r="AI1133" i="1"/>
  <c r="AG1133" i="1"/>
  <c r="AA1133" i="1"/>
  <c r="BJ1132" i="1"/>
  <c r="BI1132" i="1"/>
  <c r="BH1132" i="1"/>
  <c r="BE1132" i="1"/>
  <c r="AJ1132" i="1"/>
  <c r="AF1132" i="1"/>
  <c r="AE1132" i="1"/>
  <c r="AD1132" i="1"/>
  <c r="AA1132" i="1"/>
  <c r="V1132" i="1"/>
  <c r="X1132" i="1" s="1"/>
  <c r="BJ1131" i="1"/>
  <c r="BI1131" i="1"/>
  <c r="BH1131" i="1"/>
  <c r="BE1131" i="1"/>
  <c r="AJ1131" i="1"/>
  <c r="AI1131" i="1"/>
  <c r="AG1131" i="1"/>
  <c r="AA1131" i="1"/>
  <c r="V1131" i="1"/>
  <c r="X1131" i="1" s="1"/>
  <c r="AJ1130" i="1"/>
  <c r="AO1130" i="1" s="1"/>
  <c r="AI1130" i="1"/>
  <c r="AG1130" i="1"/>
  <c r="AA1130" i="1"/>
  <c r="AB1130" i="1" s="1"/>
  <c r="BJ1129" i="1"/>
  <c r="BI1129" i="1"/>
  <c r="BH1129" i="1"/>
  <c r="BE1129" i="1"/>
  <c r="BM1129" i="1" s="1"/>
  <c r="AV1129" i="1"/>
  <c r="AJ1129" i="1"/>
  <c r="AF1129" i="1"/>
  <c r="AI1129" i="1" s="1"/>
  <c r="AE1129" i="1"/>
  <c r="AD1129" i="1"/>
  <c r="AA1129" i="1"/>
  <c r="V1129" i="1"/>
  <c r="X1129" i="1" s="1"/>
  <c r="BJ1128" i="1"/>
  <c r="BI1128" i="1"/>
  <c r="BH1128" i="1"/>
  <c r="BE1128" i="1"/>
  <c r="BM1128" i="1" s="1"/>
  <c r="AJ1128" i="1"/>
  <c r="AI1128" i="1"/>
  <c r="AG1128" i="1"/>
  <c r="AA1128" i="1"/>
  <c r="V1128" i="1"/>
  <c r="X1128" i="1" s="1"/>
  <c r="BJ1127" i="1"/>
  <c r="BI1127" i="1"/>
  <c r="BH1127" i="1"/>
  <c r="BE1127" i="1"/>
  <c r="AV1127" i="1"/>
  <c r="AJ1127" i="1"/>
  <c r="AO1127" i="1" s="1"/>
  <c r="AI1127" i="1"/>
  <c r="AG1127" i="1"/>
  <c r="AY1127" i="1" s="1"/>
  <c r="AA1127" i="1"/>
  <c r="AC1127" i="1" s="1"/>
  <c r="V1127" i="1"/>
  <c r="X1127" i="1" s="1"/>
  <c r="BJ1126" i="1"/>
  <c r="BI1126" i="1"/>
  <c r="BH1126" i="1"/>
  <c r="BE1126" i="1"/>
  <c r="BM1126" i="1" s="1"/>
  <c r="AV1126" i="1"/>
  <c r="AJ1126" i="1"/>
  <c r="AO1126" i="1" s="1"/>
  <c r="AI1126" i="1"/>
  <c r="AG1126" i="1"/>
  <c r="AY1126" i="1" s="1"/>
  <c r="AA1126" i="1"/>
  <c r="AC1126" i="1" s="1"/>
  <c r="V1126" i="1"/>
  <c r="X1126" i="1" s="1"/>
  <c r="BJ1125" i="1"/>
  <c r="BI1125" i="1"/>
  <c r="BH1125" i="1"/>
  <c r="BE1125" i="1"/>
  <c r="BM1125" i="1" s="1"/>
  <c r="AV1125" i="1"/>
  <c r="AJ1125" i="1"/>
  <c r="AO1125" i="1" s="1"/>
  <c r="AI1125" i="1"/>
  <c r="AG1125" i="1"/>
  <c r="AY1125" i="1" s="1"/>
  <c r="AA1125" i="1"/>
  <c r="AC1125" i="1" s="1"/>
  <c r="V1125" i="1"/>
  <c r="X1125" i="1" s="1"/>
  <c r="BJ1124" i="1"/>
  <c r="BI1124" i="1"/>
  <c r="BH1124" i="1"/>
  <c r="BE1124" i="1"/>
  <c r="AJ1124" i="1"/>
  <c r="AO1124" i="1" s="1"/>
  <c r="AI1124" i="1"/>
  <c r="AG1124" i="1"/>
  <c r="AX1124" i="1" s="1"/>
  <c r="AA1124" i="1"/>
  <c r="AC1124" i="1" s="1"/>
  <c r="V1124" i="1"/>
  <c r="X1124" i="1" s="1"/>
  <c r="BJ1123" i="1"/>
  <c r="BI1123" i="1"/>
  <c r="BH1123" i="1"/>
  <c r="BE1123" i="1"/>
  <c r="BM1123" i="1" s="1"/>
  <c r="AJ1123" i="1"/>
  <c r="AI1123" i="1"/>
  <c r="AG1123" i="1"/>
  <c r="AA1123" i="1"/>
  <c r="V1123" i="1"/>
  <c r="X1123" i="1" s="1"/>
  <c r="BJ1122" i="1"/>
  <c r="BI1122" i="1"/>
  <c r="BH1122" i="1"/>
  <c r="BE1122" i="1"/>
  <c r="BM1122" i="1" s="1"/>
  <c r="AV1122" i="1"/>
  <c r="AJ1122" i="1"/>
  <c r="AI1122" i="1"/>
  <c r="AG1122" i="1"/>
  <c r="AA1122" i="1"/>
  <c r="AB1122" i="1" s="1"/>
  <c r="V1122" i="1"/>
  <c r="X1122" i="1" s="1"/>
  <c r="BJ1121" i="1"/>
  <c r="BI1121" i="1"/>
  <c r="BH1121" i="1"/>
  <c r="BE1121" i="1"/>
  <c r="AV1121" i="1"/>
  <c r="AJ1121" i="1"/>
  <c r="AI1121" i="1"/>
  <c r="AG1121" i="1"/>
  <c r="AX1121" i="1" s="1"/>
  <c r="AA1121" i="1"/>
  <c r="V1121" i="1"/>
  <c r="X1121" i="1" s="1"/>
  <c r="BJ1120" i="1"/>
  <c r="BI1120" i="1"/>
  <c r="BH1120" i="1"/>
  <c r="BE1120" i="1"/>
  <c r="AJ1120" i="1"/>
  <c r="AI1120" i="1"/>
  <c r="AG1120" i="1"/>
  <c r="AY1120" i="1" s="1"/>
  <c r="AA1120" i="1"/>
  <c r="V1120" i="1"/>
  <c r="X1120" i="1" s="1"/>
  <c r="BJ1119" i="1"/>
  <c r="BI1119" i="1"/>
  <c r="BH1119" i="1"/>
  <c r="BE1119" i="1"/>
  <c r="AJ1119" i="1"/>
  <c r="AO1119" i="1" s="1"/>
  <c r="AI1119" i="1"/>
  <c r="AG1119" i="1"/>
  <c r="AA1119" i="1"/>
  <c r="AB1119" i="1" s="1"/>
  <c r="V1119" i="1"/>
  <c r="X1119" i="1" s="1"/>
  <c r="BJ1118" i="1"/>
  <c r="BI1118" i="1"/>
  <c r="BH1118" i="1"/>
  <c r="BE1118" i="1"/>
  <c r="AV1118" i="1"/>
  <c r="AJ1118" i="1"/>
  <c r="AI1118" i="1"/>
  <c r="AG1118" i="1"/>
  <c r="AY1118" i="1" s="1"/>
  <c r="AA1118" i="1"/>
  <c r="V1118" i="1"/>
  <c r="X1118" i="1" s="1"/>
  <c r="AJ1117" i="1"/>
  <c r="AO1117" i="1" s="1"/>
  <c r="AI1117" i="1"/>
  <c r="AG1117" i="1"/>
  <c r="AA1117" i="1"/>
  <c r="BJ1116" i="1"/>
  <c r="BI1116" i="1"/>
  <c r="BH1116" i="1"/>
  <c r="BE1116" i="1"/>
  <c r="AJ1116" i="1"/>
  <c r="AF1116" i="1"/>
  <c r="AE1116" i="1"/>
  <c r="AD1116" i="1"/>
  <c r="AA1116" i="1"/>
  <c r="V1116" i="1"/>
  <c r="X1116" i="1" s="1"/>
  <c r="BJ1115" i="1"/>
  <c r="BI1115" i="1"/>
  <c r="BH1115" i="1"/>
  <c r="BE1115" i="1"/>
  <c r="AJ1115" i="1"/>
  <c r="AI1115" i="1"/>
  <c r="AG1115" i="1"/>
  <c r="AY1115" i="1" s="1"/>
  <c r="AA1115" i="1"/>
  <c r="AC1115" i="1" s="1"/>
  <c r="V1115" i="1"/>
  <c r="X1115" i="1" s="1"/>
  <c r="BJ1114" i="1"/>
  <c r="BI1114" i="1"/>
  <c r="BH1114" i="1"/>
  <c r="BE1114" i="1"/>
  <c r="BM1114" i="1" s="1"/>
  <c r="AJ1114" i="1"/>
  <c r="AI1114" i="1"/>
  <c r="AG1114" i="1"/>
  <c r="AA1114" i="1"/>
  <c r="AB1114" i="1" s="1"/>
  <c r="V1114" i="1"/>
  <c r="X1114" i="1" s="1"/>
  <c r="BJ1113" i="1"/>
  <c r="BI1113" i="1"/>
  <c r="BH1113" i="1"/>
  <c r="BE1113" i="1"/>
  <c r="BM1113" i="1" s="1"/>
  <c r="AV1113" i="1"/>
  <c r="AJ1113" i="1"/>
  <c r="AI1113" i="1"/>
  <c r="AG1113" i="1"/>
  <c r="AX1113" i="1" s="1"/>
  <c r="AA1113" i="1"/>
  <c r="V1113" i="1"/>
  <c r="X1113" i="1" s="1"/>
  <c r="BJ1112" i="1"/>
  <c r="BI1112" i="1"/>
  <c r="BH1112" i="1"/>
  <c r="BE1112" i="1"/>
  <c r="BM1112" i="1" s="1"/>
  <c r="AJ1112" i="1"/>
  <c r="AI1112" i="1"/>
  <c r="AG1112" i="1"/>
  <c r="AY1112" i="1" s="1"/>
  <c r="AA1112" i="1"/>
  <c r="AC1112" i="1" s="1"/>
  <c r="V1112" i="1"/>
  <c r="X1112" i="1" s="1"/>
  <c r="BJ1111" i="1"/>
  <c r="BI1111" i="1"/>
  <c r="BH1111" i="1"/>
  <c r="BE1111" i="1"/>
  <c r="BM1111" i="1" s="1"/>
  <c r="AJ1111" i="1"/>
  <c r="AI1111" i="1"/>
  <c r="AG1111" i="1"/>
  <c r="AY1111" i="1" s="1"/>
  <c r="AA1111" i="1"/>
  <c r="AC1111" i="1" s="1"/>
  <c r="V1111" i="1"/>
  <c r="X1111" i="1" s="1"/>
  <c r="BJ1110" i="1"/>
  <c r="BI1110" i="1"/>
  <c r="BH1110" i="1"/>
  <c r="BE1110" i="1"/>
  <c r="BM1110" i="1" s="1"/>
  <c r="AJ1110" i="1"/>
  <c r="AI1110" i="1"/>
  <c r="AG1110" i="1"/>
  <c r="AY1110" i="1" s="1"/>
  <c r="AA1110" i="1"/>
  <c r="V1110" i="1"/>
  <c r="X1110" i="1" s="1"/>
  <c r="BJ1109" i="1"/>
  <c r="BI1109" i="1"/>
  <c r="BH1109" i="1"/>
  <c r="BE1109" i="1"/>
  <c r="AV1109" i="1"/>
  <c r="AJ1109" i="1"/>
  <c r="AI1109" i="1"/>
  <c r="AG1109" i="1"/>
  <c r="AY1109" i="1" s="1"/>
  <c r="AA1109" i="1"/>
  <c r="AC1109" i="1" s="1"/>
  <c r="V1109" i="1"/>
  <c r="X1109" i="1" s="1"/>
  <c r="BJ1108" i="1"/>
  <c r="BI1108" i="1"/>
  <c r="BH1108" i="1"/>
  <c r="BE1108" i="1"/>
  <c r="AJ1108" i="1"/>
  <c r="AI1108" i="1"/>
  <c r="AG1108" i="1"/>
  <c r="AY1108" i="1" s="1"/>
  <c r="AA1108" i="1"/>
  <c r="AC1108" i="1" s="1"/>
  <c r="V1108" i="1"/>
  <c r="X1108" i="1" s="1"/>
  <c r="BJ1107" i="1"/>
  <c r="BI1107" i="1"/>
  <c r="BH1107" i="1"/>
  <c r="BE1107" i="1"/>
  <c r="BM1107" i="1" s="1"/>
  <c r="AJ1107" i="1"/>
  <c r="AI1107" i="1"/>
  <c r="AG1107" i="1"/>
  <c r="AA1107" i="1"/>
  <c r="AC1107" i="1" s="1"/>
  <c r="V1107" i="1"/>
  <c r="X1107" i="1" s="1"/>
  <c r="BJ1106" i="1"/>
  <c r="BI1106" i="1"/>
  <c r="BH1106" i="1"/>
  <c r="BE1106" i="1"/>
  <c r="BM1106" i="1" s="1"/>
  <c r="AJ1106" i="1"/>
  <c r="AO1106" i="1" s="1"/>
  <c r="AI1106" i="1"/>
  <c r="AG1106" i="1"/>
  <c r="AA1106" i="1"/>
  <c r="V1106" i="1"/>
  <c r="X1106" i="1" s="1"/>
  <c r="AJ1105" i="1"/>
  <c r="AI1105" i="1"/>
  <c r="AG1105" i="1"/>
  <c r="AA1105" i="1"/>
  <c r="AC1105" i="1" s="1"/>
  <c r="BJ1104" i="1"/>
  <c r="BI1104" i="1"/>
  <c r="BH1104" i="1"/>
  <c r="BE1104" i="1"/>
  <c r="AV1104" i="1"/>
  <c r="AJ1104" i="1"/>
  <c r="AF1104" i="1"/>
  <c r="AE1104" i="1"/>
  <c r="AD1104" i="1"/>
  <c r="AA1104" i="1"/>
  <c r="V1104" i="1"/>
  <c r="X1104" i="1" s="1"/>
  <c r="BJ1103" i="1"/>
  <c r="BI1103" i="1"/>
  <c r="BH1103" i="1"/>
  <c r="BE1103" i="1"/>
  <c r="BM1103" i="1" s="1"/>
  <c r="AV1103" i="1"/>
  <c r="AJ1103" i="1"/>
  <c r="AI1103" i="1"/>
  <c r="AG1103" i="1"/>
  <c r="AX1103" i="1" s="1"/>
  <c r="AA1103" i="1"/>
  <c r="V1103" i="1"/>
  <c r="X1103" i="1" s="1"/>
  <c r="BJ1102" i="1"/>
  <c r="BI1102" i="1"/>
  <c r="BH1102" i="1"/>
  <c r="BE1102" i="1"/>
  <c r="AJ1102" i="1"/>
  <c r="AO1102" i="1" s="1"/>
  <c r="AI1102" i="1"/>
  <c r="AG1102" i="1"/>
  <c r="AA1102" i="1"/>
  <c r="V1102" i="1"/>
  <c r="X1102" i="1" s="1"/>
  <c r="BJ1101" i="1"/>
  <c r="BI1101" i="1"/>
  <c r="BH1101" i="1"/>
  <c r="BE1101" i="1"/>
  <c r="AV1101" i="1"/>
  <c r="AJ1101" i="1"/>
  <c r="AI1101" i="1"/>
  <c r="AG1101" i="1"/>
  <c r="AA1101" i="1"/>
  <c r="V1101" i="1"/>
  <c r="X1101" i="1" s="1"/>
  <c r="BJ1100" i="1"/>
  <c r="BI1100" i="1"/>
  <c r="BH1100" i="1"/>
  <c r="BE1100" i="1"/>
  <c r="BM1100" i="1" s="1"/>
  <c r="AJ1100" i="1"/>
  <c r="AI1100" i="1"/>
  <c r="AG1100" i="1"/>
  <c r="AY1100" i="1" s="1"/>
  <c r="AA1100" i="1"/>
  <c r="V1100" i="1"/>
  <c r="X1100" i="1" s="1"/>
  <c r="BJ1099" i="1"/>
  <c r="BI1099" i="1"/>
  <c r="BH1099" i="1"/>
  <c r="BE1099" i="1"/>
  <c r="AV1099" i="1"/>
  <c r="AJ1099" i="1"/>
  <c r="AI1099" i="1"/>
  <c r="AG1099" i="1"/>
  <c r="AY1099" i="1" s="1"/>
  <c r="AA1099" i="1"/>
  <c r="AB1099" i="1" s="1"/>
  <c r="V1099" i="1"/>
  <c r="X1099" i="1" s="1"/>
  <c r="BJ1098" i="1"/>
  <c r="BI1098" i="1"/>
  <c r="BH1098" i="1"/>
  <c r="BE1098" i="1"/>
  <c r="BM1098" i="1" s="1"/>
  <c r="AV1098" i="1"/>
  <c r="AJ1098" i="1"/>
  <c r="AI1098" i="1"/>
  <c r="AG1098" i="1"/>
  <c r="AA1098" i="1"/>
  <c r="V1098" i="1"/>
  <c r="X1098" i="1" s="1"/>
  <c r="BJ1097" i="1"/>
  <c r="BI1097" i="1"/>
  <c r="BH1097" i="1"/>
  <c r="BE1097" i="1"/>
  <c r="BM1097" i="1" s="1"/>
  <c r="AJ1097" i="1"/>
  <c r="AI1097" i="1"/>
  <c r="AG1097" i="1"/>
  <c r="AA1097" i="1"/>
  <c r="V1097" i="1"/>
  <c r="X1097" i="1" s="1"/>
  <c r="BJ1096" i="1"/>
  <c r="BI1096" i="1"/>
  <c r="BH1096" i="1"/>
  <c r="BE1096" i="1"/>
  <c r="BM1096" i="1" s="1"/>
  <c r="AJ1096" i="1"/>
  <c r="AI1096" i="1"/>
  <c r="AG1096" i="1"/>
  <c r="AA1096" i="1"/>
  <c r="AC1096" i="1" s="1"/>
  <c r="V1096" i="1"/>
  <c r="X1096" i="1" s="1"/>
  <c r="BJ1095" i="1"/>
  <c r="BI1095" i="1"/>
  <c r="BH1095" i="1"/>
  <c r="BE1095" i="1"/>
  <c r="BM1095" i="1" s="1"/>
  <c r="AJ1095" i="1"/>
  <c r="AI1095" i="1"/>
  <c r="AG1095" i="1"/>
  <c r="AX1095" i="1" s="1"/>
  <c r="AA1095" i="1"/>
  <c r="AB1095" i="1" s="1"/>
  <c r="V1095" i="1"/>
  <c r="X1095" i="1" s="1"/>
  <c r="BJ1094" i="1"/>
  <c r="BI1094" i="1"/>
  <c r="BH1094" i="1"/>
  <c r="BE1094" i="1"/>
  <c r="AV1094" i="1"/>
  <c r="AJ1094" i="1"/>
  <c r="AI1094" i="1"/>
  <c r="AG1094" i="1"/>
  <c r="AX1094" i="1" s="1"/>
  <c r="AA1094" i="1"/>
  <c r="AB1094" i="1" s="1"/>
  <c r="V1094" i="1"/>
  <c r="X1094" i="1" s="1"/>
  <c r="BJ1093" i="1"/>
  <c r="BI1093" i="1"/>
  <c r="BH1093" i="1"/>
  <c r="BE1093" i="1"/>
  <c r="AV1093" i="1"/>
  <c r="AJ1093" i="1"/>
  <c r="AI1093" i="1"/>
  <c r="AG1093" i="1"/>
  <c r="AY1093" i="1" s="1"/>
  <c r="AA1093" i="1"/>
  <c r="V1093" i="1"/>
  <c r="X1093" i="1" s="1"/>
  <c r="BJ1092" i="1"/>
  <c r="BI1092" i="1"/>
  <c r="BH1092" i="1"/>
  <c r="BE1092" i="1"/>
  <c r="BM1092" i="1" s="1"/>
  <c r="AJ1092" i="1"/>
  <c r="AI1092" i="1"/>
  <c r="AG1092" i="1"/>
  <c r="AX1092" i="1" s="1"/>
  <c r="AA1092" i="1"/>
  <c r="V1092" i="1"/>
  <c r="X1092" i="1" s="1"/>
  <c r="BJ1091" i="1"/>
  <c r="BI1091" i="1"/>
  <c r="BH1091" i="1"/>
  <c r="BE1091" i="1"/>
  <c r="BM1091" i="1" s="1"/>
  <c r="AJ1091" i="1"/>
  <c r="AI1091" i="1"/>
  <c r="AG1091" i="1"/>
  <c r="AY1091" i="1" s="1"/>
  <c r="AA1091" i="1"/>
  <c r="AC1091" i="1" s="1"/>
  <c r="V1091" i="1"/>
  <c r="X1091" i="1" s="1"/>
  <c r="BJ1090" i="1"/>
  <c r="BI1090" i="1"/>
  <c r="BH1090" i="1"/>
  <c r="BE1090" i="1"/>
  <c r="BM1090" i="1" s="1"/>
  <c r="AJ1090" i="1"/>
  <c r="AI1090" i="1"/>
  <c r="AG1090" i="1"/>
  <c r="AA1090" i="1"/>
  <c r="AB1090" i="1" s="1"/>
  <c r="V1090" i="1"/>
  <c r="X1090" i="1" s="1"/>
  <c r="BJ1089" i="1"/>
  <c r="BI1089" i="1"/>
  <c r="BH1089" i="1"/>
  <c r="BE1089" i="1"/>
  <c r="BM1089" i="1" s="1"/>
  <c r="AJ1089" i="1"/>
  <c r="AI1089" i="1"/>
  <c r="AG1089" i="1"/>
  <c r="AX1089" i="1" s="1"/>
  <c r="AA1089" i="1"/>
  <c r="AC1089" i="1" s="1"/>
  <c r="V1089" i="1"/>
  <c r="X1089" i="1" s="1"/>
  <c r="BJ1088" i="1"/>
  <c r="BI1088" i="1"/>
  <c r="BH1088" i="1"/>
  <c r="BE1088" i="1"/>
  <c r="BM1088" i="1" s="1"/>
  <c r="AJ1088" i="1"/>
  <c r="AI1088" i="1"/>
  <c r="AG1088" i="1"/>
  <c r="AA1088" i="1"/>
  <c r="AC1088" i="1" s="1"/>
  <c r="V1088" i="1"/>
  <c r="X1088" i="1" s="1"/>
  <c r="BJ1087" i="1"/>
  <c r="BI1087" i="1"/>
  <c r="BH1087" i="1"/>
  <c r="BE1087" i="1"/>
  <c r="BM1087" i="1" s="1"/>
  <c r="AJ1087" i="1"/>
  <c r="AI1087" i="1"/>
  <c r="AG1087" i="1"/>
  <c r="AY1087" i="1" s="1"/>
  <c r="AA1087" i="1"/>
  <c r="AB1087" i="1" s="1"/>
  <c r="V1087" i="1"/>
  <c r="X1087" i="1" s="1"/>
  <c r="BJ1086" i="1"/>
  <c r="BI1086" i="1"/>
  <c r="BH1086" i="1"/>
  <c r="BE1086" i="1"/>
  <c r="BM1086" i="1" s="1"/>
  <c r="AJ1086" i="1"/>
  <c r="AI1086" i="1"/>
  <c r="AG1086" i="1"/>
  <c r="AX1086" i="1" s="1"/>
  <c r="AA1086" i="1"/>
  <c r="AC1086" i="1" s="1"/>
  <c r="V1086" i="1"/>
  <c r="X1086" i="1" s="1"/>
  <c r="AJ1085" i="1"/>
  <c r="AO1085" i="1" s="1"/>
  <c r="AI1085" i="1"/>
  <c r="AG1085" i="1"/>
  <c r="AA1085" i="1"/>
  <c r="AC1085" i="1" s="1"/>
  <c r="BJ1084" i="1"/>
  <c r="BI1084" i="1"/>
  <c r="BH1084" i="1"/>
  <c r="BE1084" i="1"/>
  <c r="BM1084" i="1" s="1"/>
  <c r="AJ1084" i="1"/>
  <c r="AF1084" i="1"/>
  <c r="AI1084" i="1" s="1"/>
  <c r="AE1084" i="1"/>
  <c r="AD1084" i="1"/>
  <c r="AA1084" i="1"/>
  <c r="V1084" i="1"/>
  <c r="X1084" i="1" s="1"/>
  <c r="BJ1083" i="1"/>
  <c r="BI1083" i="1"/>
  <c r="BH1083" i="1"/>
  <c r="BE1083" i="1"/>
  <c r="AJ1083" i="1"/>
  <c r="AI1083" i="1"/>
  <c r="AG1083" i="1"/>
  <c r="AA1083" i="1"/>
  <c r="AB1083" i="1" s="1"/>
  <c r="V1083" i="1"/>
  <c r="X1083" i="1" s="1"/>
  <c r="BJ1082" i="1"/>
  <c r="BI1082" i="1"/>
  <c r="BH1082" i="1"/>
  <c r="BE1082" i="1"/>
  <c r="BM1082" i="1" s="1"/>
  <c r="AV1082" i="1"/>
  <c r="AJ1082" i="1"/>
  <c r="AI1082" i="1"/>
  <c r="AG1082" i="1"/>
  <c r="AA1082" i="1"/>
  <c r="AB1082" i="1" s="1"/>
  <c r="V1082" i="1"/>
  <c r="X1082" i="1" s="1"/>
  <c r="BJ1081" i="1"/>
  <c r="BI1081" i="1"/>
  <c r="BH1081" i="1"/>
  <c r="BE1081" i="1"/>
  <c r="BM1081" i="1" s="1"/>
  <c r="AJ1081" i="1"/>
  <c r="AI1081" i="1"/>
  <c r="AG1081" i="1"/>
  <c r="AA1081" i="1"/>
  <c r="V1081" i="1"/>
  <c r="X1081" i="1" s="1"/>
  <c r="BJ1080" i="1"/>
  <c r="BI1080" i="1"/>
  <c r="BH1080" i="1"/>
  <c r="BE1080" i="1"/>
  <c r="BM1080" i="1" s="1"/>
  <c r="AJ1080" i="1"/>
  <c r="AO1080" i="1" s="1"/>
  <c r="AI1080" i="1"/>
  <c r="AG1080" i="1"/>
  <c r="AX1080" i="1" s="1"/>
  <c r="AA1080" i="1"/>
  <c r="V1080" i="1"/>
  <c r="X1080" i="1" s="1"/>
  <c r="AJ1079" i="1"/>
  <c r="AI1079" i="1"/>
  <c r="AG1079" i="1"/>
  <c r="AA1079" i="1"/>
  <c r="AC1079" i="1" s="1"/>
  <c r="BJ1078" i="1"/>
  <c r="BI1078" i="1"/>
  <c r="BH1078" i="1"/>
  <c r="BE1078" i="1"/>
  <c r="BM1078" i="1" s="1"/>
  <c r="AJ1078" i="1"/>
  <c r="AF1078" i="1"/>
  <c r="AE1078" i="1"/>
  <c r="AD1078" i="1"/>
  <c r="AA1078" i="1"/>
  <c r="V1078" i="1"/>
  <c r="X1078" i="1" s="1"/>
  <c r="BJ1077" i="1"/>
  <c r="BI1077" i="1"/>
  <c r="BH1077" i="1"/>
  <c r="BE1077" i="1"/>
  <c r="AV1077" i="1"/>
  <c r="AJ1077" i="1"/>
  <c r="AI1077" i="1"/>
  <c r="AG1077" i="1"/>
  <c r="AA1077" i="1"/>
  <c r="AC1077" i="1" s="1"/>
  <c r="V1077" i="1"/>
  <c r="X1077" i="1" s="1"/>
  <c r="BJ1076" i="1"/>
  <c r="BI1076" i="1"/>
  <c r="BH1076" i="1"/>
  <c r="BE1076" i="1"/>
  <c r="BM1076" i="1" s="1"/>
  <c r="AV1076" i="1"/>
  <c r="AJ1076" i="1"/>
  <c r="AI1076" i="1"/>
  <c r="AG1076" i="1"/>
  <c r="AA1076" i="1"/>
  <c r="V1076" i="1"/>
  <c r="X1076" i="1" s="1"/>
  <c r="BJ1075" i="1"/>
  <c r="BI1075" i="1"/>
  <c r="BH1075" i="1"/>
  <c r="BE1075" i="1"/>
  <c r="AJ1075" i="1"/>
  <c r="AI1075" i="1"/>
  <c r="AG1075" i="1"/>
  <c r="AA1075" i="1"/>
  <c r="V1075" i="1"/>
  <c r="X1075" i="1" s="1"/>
  <c r="BJ1074" i="1"/>
  <c r="BI1074" i="1"/>
  <c r="BH1074" i="1"/>
  <c r="BE1074" i="1"/>
  <c r="BM1074" i="1" s="1"/>
  <c r="AV1074" i="1"/>
  <c r="AJ1074" i="1"/>
  <c r="AI1074" i="1"/>
  <c r="AG1074" i="1"/>
  <c r="AA1074" i="1"/>
  <c r="AC1074" i="1" s="1"/>
  <c r="V1074" i="1"/>
  <c r="X1074" i="1" s="1"/>
  <c r="BJ1073" i="1"/>
  <c r="BI1073" i="1"/>
  <c r="BH1073" i="1"/>
  <c r="BE1073" i="1"/>
  <c r="AV1073" i="1"/>
  <c r="AJ1073" i="1"/>
  <c r="AI1073" i="1"/>
  <c r="AG1073" i="1"/>
  <c r="AA1073" i="1"/>
  <c r="AC1073" i="1" s="1"/>
  <c r="V1073" i="1"/>
  <c r="X1073" i="1" s="1"/>
  <c r="BJ1072" i="1"/>
  <c r="BI1072" i="1"/>
  <c r="BH1072" i="1"/>
  <c r="BE1072" i="1"/>
  <c r="BM1072" i="1" s="1"/>
  <c r="AV1072" i="1"/>
  <c r="AJ1072" i="1"/>
  <c r="AI1072" i="1"/>
  <c r="AG1072" i="1"/>
  <c r="AY1072" i="1" s="1"/>
  <c r="AA1072" i="1"/>
  <c r="V1072" i="1"/>
  <c r="X1072" i="1" s="1"/>
  <c r="BJ1071" i="1"/>
  <c r="BI1071" i="1"/>
  <c r="BH1071" i="1"/>
  <c r="BE1071" i="1"/>
  <c r="BM1071" i="1" s="1"/>
  <c r="AV1071" i="1"/>
  <c r="AJ1071" i="1"/>
  <c r="AI1071" i="1"/>
  <c r="AG1071" i="1"/>
  <c r="AX1071" i="1" s="1"/>
  <c r="AA1071" i="1"/>
  <c r="AC1071" i="1" s="1"/>
  <c r="V1071" i="1"/>
  <c r="X1071" i="1" s="1"/>
  <c r="BJ1070" i="1"/>
  <c r="BI1070" i="1"/>
  <c r="BH1070" i="1"/>
  <c r="BE1070" i="1"/>
  <c r="AV1070" i="1"/>
  <c r="AJ1070" i="1"/>
  <c r="AI1070" i="1"/>
  <c r="AG1070" i="1"/>
  <c r="AX1070" i="1" s="1"/>
  <c r="AA1070" i="1"/>
  <c r="AC1070" i="1" s="1"/>
  <c r="V1070" i="1"/>
  <c r="X1070" i="1" s="1"/>
  <c r="BJ1069" i="1"/>
  <c r="BI1069" i="1"/>
  <c r="BH1069" i="1"/>
  <c r="BE1069" i="1"/>
  <c r="BM1069" i="1" s="1"/>
  <c r="AV1069" i="1"/>
  <c r="AJ1069" i="1"/>
  <c r="AI1069" i="1"/>
  <c r="AG1069" i="1"/>
  <c r="AY1069" i="1" s="1"/>
  <c r="AA1069" i="1"/>
  <c r="AB1069" i="1" s="1"/>
  <c r="V1069" i="1"/>
  <c r="X1069" i="1" s="1"/>
  <c r="BJ1068" i="1"/>
  <c r="BI1068" i="1"/>
  <c r="BH1068" i="1"/>
  <c r="BE1068" i="1"/>
  <c r="AV1068" i="1"/>
  <c r="AJ1068" i="1"/>
  <c r="AI1068" i="1"/>
  <c r="AG1068" i="1"/>
  <c r="AX1068" i="1" s="1"/>
  <c r="AA1068" i="1"/>
  <c r="V1068" i="1"/>
  <c r="X1068" i="1" s="1"/>
  <c r="BJ1067" i="1"/>
  <c r="BI1067" i="1"/>
  <c r="BH1067" i="1"/>
  <c r="BE1067" i="1"/>
  <c r="BM1067" i="1" s="1"/>
  <c r="AV1067" i="1"/>
  <c r="AJ1067" i="1"/>
  <c r="AI1067" i="1"/>
  <c r="AG1067" i="1"/>
  <c r="AX1067" i="1" s="1"/>
  <c r="AA1067" i="1"/>
  <c r="AC1067" i="1" s="1"/>
  <c r="V1067" i="1"/>
  <c r="X1067" i="1" s="1"/>
  <c r="BJ1066" i="1"/>
  <c r="BI1066" i="1"/>
  <c r="BH1066" i="1"/>
  <c r="BE1066" i="1"/>
  <c r="BM1066" i="1" s="1"/>
  <c r="AJ1066" i="1"/>
  <c r="AI1066" i="1"/>
  <c r="AG1066" i="1"/>
  <c r="AY1066" i="1" s="1"/>
  <c r="AA1066" i="1"/>
  <c r="AC1066" i="1" s="1"/>
  <c r="V1066" i="1"/>
  <c r="X1066" i="1" s="1"/>
  <c r="BJ1065" i="1"/>
  <c r="BI1065" i="1"/>
  <c r="BH1065" i="1"/>
  <c r="BE1065" i="1"/>
  <c r="AJ1065" i="1"/>
  <c r="AI1065" i="1"/>
  <c r="AG1065" i="1"/>
  <c r="AY1065" i="1" s="1"/>
  <c r="AA1065" i="1"/>
  <c r="V1065" i="1"/>
  <c r="X1065" i="1" s="1"/>
  <c r="BJ1064" i="1"/>
  <c r="BI1064" i="1"/>
  <c r="BH1064" i="1"/>
  <c r="BE1064" i="1"/>
  <c r="AV1064" i="1"/>
  <c r="AJ1064" i="1"/>
  <c r="AI1064" i="1"/>
  <c r="AG1064" i="1"/>
  <c r="AA1064" i="1"/>
  <c r="AB1064" i="1" s="1"/>
  <c r="V1064" i="1"/>
  <c r="X1064" i="1" s="1"/>
  <c r="BJ1063" i="1"/>
  <c r="BI1063" i="1"/>
  <c r="BH1063" i="1"/>
  <c r="BE1063" i="1"/>
  <c r="AV1063" i="1"/>
  <c r="AJ1063" i="1"/>
  <c r="AI1063" i="1"/>
  <c r="AG1063" i="1"/>
  <c r="AX1063" i="1" s="1"/>
  <c r="AA1063" i="1"/>
  <c r="AC1063" i="1" s="1"/>
  <c r="V1063" i="1"/>
  <c r="X1063" i="1" s="1"/>
  <c r="BJ1062" i="1"/>
  <c r="BI1062" i="1"/>
  <c r="BH1062" i="1"/>
  <c r="BE1062" i="1"/>
  <c r="BM1062" i="1" s="1"/>
  <c r="AV1062" i="1"/>
  <c r="AJ1062" i="1"/>
  <c r="AI1062" i="1"/>
  <c r="AG1062" i="1"/>
  <c r="AY1062" i="1" s="1"/>
  <c r="AA1062" i="1"/>
  <c r="AC1062" i="1" s="1"/>
  <c r="V1062" i="1"/>
  <c r="X1062" i="1" s="1"/>
  <c r="BJ1061" i="1"/>
  <c r="BI1061" i="1"/>
  <c r="BH1061" i="1"/>
  <c r="BE1061" i="1"/>
  <c r="BM1061" i="1" s="1"/>
  <c r="AV1061" i="1"/>
  <c r="AJ1061" i="1"/>
  <c r="AI1061" i="1"/>
  <c r="AG1061" i="1"/>
  <c r="AX1061" i="1" s="1"/>
  <c r="AA1061" i="1"/>
  <c r="AB1061" i="1" s="1"/>
  <c r="V1061" i="1"/>
  <c r="X1061" i="1" s="1"/>
  <c r="BJ1060" i="1"/>
  <c r="BI1060" i="1"/>
  <c r="BH1060" i="1"/>
  <c r="BE1060" i="1"/>
  <c r="AJ1060" i="1"/>
  <c r="AI1060" i="1"/>
  <c r="AG1060" i="1"/>
  <c r="AX1060" i="1" s="1"/>
  <c r="AA1060" i="1"/>
  <c r="V1060" i="1"/>
  <c r="X1060" i="1" s="1"/>
  <c r="BJ1059" i="1"/>
  <c r="BI1059" i="1"/>
  <c r="BH1059" i="1"/>
  <c r="BE1059" i="1"/>
  <c r="BM1059" i="1" s="1"/>
  <c r="AJ1059" i="1"/>
  <c r="AI1059" i="1"/>
  <c r="AG1059" i="1"/>
  <c r="AA1059" i="1"/>
  <c r="V1059" i="1"/>
  <c r="X1059" i="1" s="1"/>
  <c r="BJ1058" i="1"/>
  <c r="BI1058" i="1"/>
  <c r="BH1058" i="1"/>
  <c r="BE1058" i="1"/>
  <c r="BM1058" i="1" s="1"/>
  <c r="AV1058" i="1"/>
  <c r="AJ1058" i="1"/>
  <c r="AI1058" i="1"/>
  <c r="AG1058" i="1"/>
  <c r="AY1058" i="1" s="1"/>
  <c r="AA1058" i="1"/>
  <c r="V1058" i="1"/>
  <c r="X1058" i="1" s="1"/>
  <c r="BJ1057" i="1"/>
  <c r="BI1057" i="1"/>
  <c r="BH1057" i="1"/>
  <c r="BE1057" i="1"/>
  <c r="AV1057" i="1"/>
  <c r="AJ1057" i="1"/>
  <c r="AI1057" i="1"/>
  <c r="AG1057" i="1"/>
  <c r="AX1057" i="1" s="1"/>
  <c r="AA1057" i="1"/>
  <c r="V1057" i="1"/>
  <c r="X1057" i="1" s="1"/>
  <c r="BJ1056" i="1"/>
  <c r="BI1056" i="1"/>
  <c r="BH1056" i="1"/>
  <c r="BE1056" i="1"/>
  <c r="BM1056" i="1" s="1"/>
  <c r="AV1056" i="1"/>
  <c r="AJ1056" i="1"/>
  <c r="AI1056" i="1"/>
  <c r="AG1056" i="1"/>
  <c r="AX1056" i="1" s="1"/>
  <c r="AA1056" i="1"/>
  <c r="V1056" i="1"/>
  <c r="X1056" i="1" s="1"/>
  <c r="BJ1055" i="1"/>
  <c r="BI1055" i="1"/>
  <c r="BH1055" i="1"/>
  <c r="BE1055" i="1"/>
  <c r="BM1055" i="1" s="1"/>
  <c r="AV1055" i="1"/>
  <c r="AJ1055" i="1"/>
  <c r="AI1055" i="1"/>
  <c r="AG1055" i="1"/>
  <c r="AY1055" i="1" s="1"/>
  <c r="AA1055" i="1"/>
  <c r="V1055" i="1"/>
  <c r="X1055" i="1" s="1"/>
  <c r="BJ1054" i="1"/>
  <c r="BI1054" i="1"/>
  <c r="BH1054" i="1"/>
  <c r="BE1054" i="1"/>
  <c r="BM1054" i="1" s="1"/>
  <c r="AJ1054" i="1"/>
  <c r="AI1054" i="1"/>
  <c r="AG1054" i="1"/>
  <c r="AA1054" i="1"/>
  <c r="AC1054" i="1" s="1"/>
  <c r="V1054" i="1"/>
  <c r="X1054" i="1" s="1"/>
  <c r="AJ1053" i="1"/>
  <c r="AO1053" i="1" s="1"/>
  <c r="AI1053" i="1"/>
  <c r="AG1053" i="1"/>
  <c r="AA1053" i="1"/>
  <c r="BJ1052" i="1"/>
  <c r="BI1052" i="1"/>
  <c r="BH1052" i="1"/>
  <c r="BE1052" i="1"/>
  <c r="BM1052" i="1" s="1"/>
  <c r="AJ1052" i="1"/>
  <c r="AF1052" i="1"/>
  <c r="AE1052" i="1"/>
  <c r="AD1052" i="1"/>
  <c r="AA1052" i="1"/>
  <c r="V1052" i="1"/>
  <c r="X1052" i="1" s="1"/>
  <c r="BJ1051" i="1"/>
  <c r="BI1051" i="1"/>
  <c r="BH1051" i="1"/>
  <c r="BE1051" i="1"/>
  <c r="AV1051" i="1"/>
  <c r="AJ1051" i="1"/>
  <c r="AI1051" i="1"/>
  <c r="AG1051" i="1"/>
  <c r="AA1051" i="1"/>
  <c r="AB1051" i="1" s="1"/>
  <c r="V1051" i="1"/>
  <c r="X1051" i="1" s="1"/>
  <c r="AJ1050" i="1"/>
  <c r="AI1050" i="1"/>
  <c r="AG1050" i="1"/>
  <c r="AA1050" i="1"/>
  <c r="V1050" i="1"/>
  <c r="X1050" i="1" s="1"/>
  <c r="BJ1049" i="1"/>
  <c r="BI1049" i="1"/>
  <c r="BH1049" i="1"/>
  <c r="BE1049" i="1"/>
  <c r="AJ1049" i="1"/>
  <c r="AI1049" i="1"/>
  <c r="AG1049" i="1"/>
  <c r="AY1049" i="1" s="1"/>
  <c r="AA1049" i="1"/>
  <c r="AB1049" i="1" s="1"/>
  <c r="V1049" i="1"/>
  <c r="X1049" i="1" s="1"/>
  <c r="BJ1048" i="1"/>
  <c r="BI1048" i="1"/>
  <c r="BH1048" i="1"/>
  <c r="BE1048" i="1"/>
  <c r="BM1048" i="1" s="1"/>
  <c r="AJ1048" i="1"/>
  <c r="AI1048" i="1"/>
  <c r="AG1048" i="1"/>
  <c r="AA1048" i="1"/>
  <c r="V1048" i="1"/>
  <c r="X1048" i="1" s="1"/>
  <c r="BJ1047" i="1"/>
  <c r="BI1047" i="1"/>
  <c r="BH1047" i="1"/>
  <c r="BE1047" i="1"/>
  <c r="BM1047" i="1" s="1"/>
  <c r="AJ1047" i="1"/>
  <c r="AI1047" i="1"/>
  <c r="AG1047" i="1"/>
  <c r="AY1047" i="1" s="1"/>
  <c r="AA1047" i="1"/>
  <c r="AB1047" i="1" s="1"/>
  <c r="V1047" i="1"/>
  <c r="X1047" i="1" s="1"/>
  <c r="BJ1046" i="1"/>
  <c r="BI1046" i="1"/>
  <c r="BH1046" i="1"/>
  <c r="BE1046" i="1"/>
  <c r="BM1046" i="1" s="1"/>
  <c r="AJ1046" i="1"/>
  <c r="AI1046" i="1"/>
  <c r="AG1046" i="1"/>
  <c r="AX1046" i="1" s="1"/>
  <c r="AA1046" i="1"/>
  <c r="AB1046" i="1" s="1"/>
  <c r="V1046" i="1"/>
  <c r="X1046" i="1" s="1"/>
  <c r="BJ1045" i="1"/>
  <c r="BI1045" i="1"/>
  <c r="BH1045" i="1"/>
  <c r="BE1045" i="1"/>
  <c r="AV1045" i="1"/>
  <c r="AJ1045" i="1"/>
  <c r="AI1045" i="1"/>
  <c r="AG1045" i="1"/>
  <c r="AX1045" i="1" s="1"/>
  <c r="AA1045" i="1"/>
  <c r="V1045" i="1"/>
  <c r="X1045" i="1" s="1"/>
  <c r="BJ1044" i="1"/>
  <c r="BI1044" i="1"/>
  <c r="BH1044" i="1"/>
  <c r="BE1044" i="1"/>
  <c r="BM1044" i="1" s="1"/>
  <c r="AJ1044" i="1"/>
  <c r="AI1044" i="1"/>
  <c r="AG1044" i="1"/>
  <c r="AA1044" i="1"/>
  <c r="V1044" i="1"/>
  <c r="X1044" i="1" s="1"/>
  <c r="BJ1043" i="1"/>
  <c r="BI1043" i="1"/>
  <c r="BH1043" i="1"/>
  <c r="BE1043" i="1"/>
  <c r="BM1043" i="1" s="1"/>
  <c r="AJ1043" i="1"/>
  <c r="AI1043" i="1"/>
  <c r="AG1043" i="1"/>
  <c r="AY1043" i="1" s="1"/>
  <c r="AA1043" i="1"/>
  <c r="V1043" i="1"/>
  <c r="X1043" i="1" s="1"/>
  <c r="AI1042" i="1"/>
  <c r="AP1042" i="1" s="1"/>
  <c r="AG1042" i="1"/>
  <c r="AA1042" i="1"/>
  <c r="AB1042" i="1" s="1"/>
  <c r="BJ1041" i="1"/>
  <c r="BI1041" i="1"/>
  <c r="BH1041" i="1"/>
  <c r="BE1041" i="1"/>
  <c r="AJ1041" i="1"/>
  <c r="AF1041" i="1"/>
  <c r="AE1041" i="1"/>
  <c r="AD1041" i="1"/>
  <c r="AA1041" i="1"/>
  <c r="V1041" i="1"/>
  <c r="X1041" i="1" s="1"/>
  <c r="BJ1040" i="1"/>
  <c r="BI1040" i="1"/>
  <c r="BH1040" i="1"/>
  <c r="BE1040" i="1"/>
  <c r="AJ1040" i="1"/>
  <c r="AI1040" i="1"/>
  <c r="AG1040" i="1"/>
  <c r="AX1040" i="1" s="1"/>
  <c r="AA1040" i="1"/>
  <c r="V1040" i="1"/>
  <c r="X1040" i="1" s="1"/>
  <c r="BJ1039" i="1"/>
  <c r="BI1039" i="1"/>
  <c r="BH1039" i="1"/>
  <c r="BE1039" i="1"/>
  <c r="BM1039" i="1" s="1"/>
  <c r="AJ1039" i="1"/>
  <c r="AI1039" i="1"/>
  <c r="AG1039" i="1"/>
  <c r="AX1039" i="1" s="1"/>
  <c r="AA1039" i="1"/>
  <c r="V1039" i="1"/>
  <c r="X1039" i="1" s="1"/>
  <c r="BJ1038" i="1"/>
  <c r="BI1038" i="1"/>
  <c r="BH1038" i="1"/>
  <c r="BE1038" i="1"/>
  <c r="BM1038" i="1" s="1"/>
  <c r="AJ1038" i="1"/>
  <c r="AI1038" i="1"/>
  <c r="AG1038" i="1"/>
  <c r="AY1038" i="1" s="1"/>
  <c r="AA1038" i="1"/>
  <c r="AC1038" i="1" s="1"/>
  <c r="V1038" i="1"/>
  <c r="X1038" i="1" s="1"/>
  <c r="BJ1037" i="1"/>
  <c r="BI1037" i="1"/>
  <c r="BH1037" i="1"/>
  <c r="BE1037" i="1"/>
  <c r="BM1037" i="1" s="1"/>
  <c r="AV1037" i="1"/>
  <c r="AJ1037" i="1"/>
  <c r="AI1037" i="1"/>
  <c r="AG1037" i="1"/>
  <c r="AY1037" i="1" s="1"/>
  <c r="AA1037" i="1"/>
  <c r="AB1037" i="1" s="1"/>
  <c r="V1037" i="1"/>
  <c r="X1037" i="1" s="1"/>
  <c r="BJ1036" i="1"/>
  <c r="BI1036" i="1"/>
  <c r="BH1036" i="1"/>
  <c r="BE1036" i="1"/>
  <c r="AJ1036" i="1"/>
  <c r="AI1036" i="1"/>
  <c r="AG1036" i="1"/>
  <c r="AA1036" i="1"/>
  <c r="AC1036" i="1" s="1"/>
  <c r="V1036" i="1"/>
  <c r="X1036" i="1" s="1"/>
  <c r="BJ1035" i="1"/>
  <c r="BI1035" i="1"/>
  <c r="BH1035" i="1"/>
  <c r="BE1035" i="1"/>
  <c r="BM1035" i="1" s="1"/>
  <c r="AV1035" i="1"/>
  <c r="AJ1035" i="1"/>
  <c r="AI1035" i="1"/>
  <c r="AG1035" i="1"/>
  <c r="AX1035" i="1" s="1"/>
  <c r="AA1035" i="1"/>
  <c r="V1035" i="1"/>
  <c r="X1035" i="1" s="1"/>
  <c r="BJ1034" i="1"/>
  <c r="BI1034" i="1"/>
  <c r="BH1034" i="1"/>
  <c r="BE1034" i="1"/>
  <c r="AV1034" i="1"/>
  <c r="AJ1034" i="1"/>
  <c r="AI1034" i="1"/>
  <c r="AG1034" i="1"/>
  <c r="AA1034" i="1"/>
  <c r="AB1034" i="1" s="1"/>
  <c r="V1034" i="1"/>
  <c r="X1034" i="1" s="1"/>
  <c r="BJ1033" i="1"/>
  <c r="BI1033" i="1"/>
  <c r="BH1033" i="1"/>
  <c r="BE1033" i="1"/>
  <c r="AJ1033" i="1"/>
  <c r="AI1033" i="1"/>
  <c r="AG1033" i="1"/>
  <c r="AY1033" i="1" s="1"/>
  <c r="AA1033" i="1"/>
  <c r="V1033" i="1"/>
  <c r="X1033" i="1" s="1"/>
  <c r="BJ1032" i="1"/>
  <c r="BI1032" i="1"/>
  <c r="BH1032" i="1"/>
  <c r="BE1032" i="1"/>
  <c r="AJ1032" i="1"/>
  <c r="AI1032" i="1"/>
  <c r="AG1032" i="1"/>
  <c r="AA1032" i="1"/>
  <c r="V1032" i="1"/>
  <c r="X1032" i="1" s="1"/>
  <c r="BJ1031" i="1"/>
  <c r="BI1031" i="1"/>
  <c r="BH1031" i="1"/>
  <c r="BE1031" i="1"/>
  <c r="BM1031" i="1" s="1"/>
  <c r="AV1031" i="1"/>
  <c r="AJ1031" i="1"/>
  <c r="AI1031" i="1"/>
  <c r="AG1031" i="1"/>
  <c r="AY1031" i="1" s="1"/>
  <c r="AA1031" i="1"/>
  <c r="AC1031" i="1" s="1"/>
  <c r="V1031" i="1"/>
  <c r="X1031" i="1" s="1"/>
  <c r="BJ1030" i="1"/>
  <c r="BI1030" i="1"/>
  <c r="BH1030" i="1"/>
  <c r="BE1030" i="1"/>
  <c r="AJ1030" i="1"/>
  <c r="AI1030" i="1"/>
  <c r="AG1030" i="1"/>
  <c r="AY1030" i="1" s="1"/>
  <c r="AA1030" i="1"/>
  <c r="V1030" i="1"/>
  <c r="X1030" i="1" s="1"/>
  <c r="BJ1029" i="1"/>
  <c r="BI1029" i="1"/>
  <c r="BH1029" i="1"/>
  <c r="BE1029" i="1"/>
  <c r="BM1029" i="1" s="1"/>
  <c r="AJ1029" i="1"/>
  <c r="AI1029" i="1"/>
  <c r="AG1029" i="1"/>
  <c r="AA1029" i="1"/>
  <c r="AC1029" i="1" s="1"/>
  <c r="V1029" i="1"/>
  <c r="X1029" i="1" s="1"/>
  <c r="BJ1028" i="1"/>
  <c r="BI1028" i="1"/>
  <c r="BH1028" i="1"/>
  <c r="BE1028" i="1"/>
  <c r="BM1028" i="1" s="1"/>
  <c r="AV1028" i="1"/>
  <c r="AJ1028" i="1"/>
  <c r="AI1028" i="1"/>
  <c r="AD1028" i="1"/>
  <c r="AG1028" i="1" s="1"/>
  <c r="AA1028" i="1"/>
  <c r="V1028" i="1"/>
  <c r="X1028" i="1" s="1"/>
  <c r="BJ1027" i="1"/>
  <c r="BI1027" i="1"/>
  <c r="BH1027" i="1"/>
  <c r="BE1027" i="1"/>
  <c r="BM1027" i="1" s="1"/>
  <c r="AV1027" i="1"/>
  <c r="AJ1027" i="1"/>
  <c r="AI1027" i="1"/>
  <c r="AG1027" i="1"/>
  <c r="AY1027" i="1" s="1"/>
  <c r="AA1027" i="1"/>
  <c r="V1027" i="1"/>
  <c r="X1027" i="1" s="1"/>
  <c r="BJ1026" i="1"/>
  <c r="BI1026" i="1"/>
  <c r="BH1026" i="1"/>
  <c r="BE1026" i="1"/>
  <c r="BM1026" i="1" s="1"/>
  <c r="AV1026" i="1"/>
  <c r="AJ1026" i="1"/>
  <c r="AI1026" i="1"/>
  <c r="AG1026" i="1"/>
  <c r="AY1026" i="1" s="1"/>
  <c r="AA1026" i="1"/>
  <c r="V1026" i="1"/>
  <c r="X1026" i="1" s="1"/>
  <c r="BJ1025" i="1"/>
  <c r="BI1025" i="1"/>
  <c r="BH1025" i="1"/>
  <c r="BE1025" i="1"/>
  <c r="AJ1025" i="1"/>
  <c r="AI1025" i="1"/>
  <c r="AG1025" i="1"/>
  <c r="AX1025" i="1" s="1"/>
  <c r="AA1025" i="1"/>
  <c r="AC1025" i="1" s="1"/>
  <c r="V1025" i="1"/>
  <c r="X1025" i="1" s="1"/>
  <c r="BJ1024" i="1"/>
  <c r="BI1024" i="1"/>
  <c r="BH1024" i="1"/>
  <c r="BE1024" i="1"/>
  <c r="AJ1024" i="1"/>
  <c r="AI1024" i="1"/>
  <c r="AG1024" i="1"/>
  <c r="AY1024" i="1" s="1"/>
  <c r="AA1024" i="1"/>
  <c r="AB1024" i="1" s="1"/>
  <c r="V1024" i="1"/>
  <c r="X1024" i="1" s="1"/>
  <c r="BJ1023" i="1"/>
  <c r="BI1023" i="1"/>
  <c r="BH1023" i="1"/>
  <c r="BE1023" i="1"/>
  <c r="BM1023" i="1" s="1"/>
  <c r="AV1023" i="1"/>
  <c r="AJ1023" i="1"/>
  <c r="AI1023" i="1"/>
  <c r="AG1023" i="1"/>
  <c r="AA1023" i="1"/>
  <c r="V1023" i="1"/>
  <c r="X1023" i="1" s="1"/>
  <c r="BJ1022" i="1"/>
  <c r="BI1022" i="1"/>
  <c r="BH1022" i="1"/>
  <c r="BE1022" i="1"/>
  <c r="AV1022" i="1"/>
  <c r="AJ1022" i="1"/>
  <c r="AI1022" i="1"/>
  <c r="AG1022" i="1"/>
  <c r="AY1022" i="1" s="1"/>
  <c r="AA1022" i="1"/>
  <c r="AC1022" i="1" s="1"/>
  <c r="V1022" i="1"/>
  <c r="X1022" i="1" s="1"/>
  <c r="BJ1021" i="1"/>
  <c r="BI1021" i="1"/>
  <c r="BH1021" i="1"/>
  <c r="BE1021" i="1"/>
  <c r="BM1021" i="1" s="1"/>
  <c r="AJ1021" i="1"/>
  <c r="AI1021" i="1"/>
  <c r="AG1021" i="1"/>
  <c r="AA1021" i="1"/>
  <c r="AC1021" i="1" s="1"/>
  <c r="V1021" i="1"/>
  <c r="X1021" i="1" s="1"/>
  <c r="BJ1020" i="1"/>
  <c r="BI1020" i="1"/>
  <c r="BH1020" i="1"/>
  <c r="BE1020" i="1"/>
  <c r="AJ1020" i="1"/>
  <c r="AI1020" i="1"/>
  <c r="AG1020" i="1"/>
  <c r="AA1020" i="1"/>
  <c r="AC1020" i="1" s="1"/>
  <c r="V1020" i="1"/>
  <c r="X1020" i="1" s="1"/>
  <c r="BJ1019" i="1"/>
  <c r="BI1019" i="1"/>
  <c r="BH1019" i="1"/>
  <c r="BE1019" i="1"/>
  <c r="BM1019" i="1" s="1"/>
  <c r="AV1019" i="1"/>
  <c r="AJ1019" i="1"/>
  <c r="AI1019" i="1"/>
  <c r="AG1019" i="1"/>
  <c r="AY1019" i="1" s="1"/>
  <c r="AA1019" i="1"/>
  <c r="AC1019" i="1" s="1"/>
  <c r="V1019" i="1"/>
  <c r="X1019" i="1" s="1"/>
  <c r="BJ1018" i="1"/>
  <c r="BI1018" i="1"/>
  <c r="BH1018" i="1"/>
  <c r="BE1018" i="1"/>
  <c r="BM1018" i="1" s="1"/>
  <c r="AJ1018" i="1"/>
  <c r="AI1018" i="1"/>
  <c r="AG1018" i="1"/>
  <c r="AY1018" i="1" s="1"/>
  <c r="AA1018" i="1"/>
  <c r="AC1018" i="1" s="1"/>
  <c r="V1018" i="1"/>
  <c r="X1018" i="1" s="1"/>
  <c r="BJ1017" i="1"/>
  <c r="BI1017" i="1"/>
  <c r="BH1017" i="1"/>
  <c r="BE1017" i="1"/>
  <c r="BM1017" i="1" s="1"/>
  <c r="AV1017" i="1"/>
  <c r="AJ1017" i="1"/>
  <c r="AI1017" i="1"/>
  <c r="AG1017" i="1"/>
  <c r="AA1017" i="1"/>
  <c r="AB1017" i="1" s="1"/>
  <c r="V1017" i="1"/>
  <c r="X1017" i="1" s="1"/>
  <c r="BJ1016" i="1"/>
  <c r="BI1016" i="1"/>
  <c r="BH1016" i="1"/>
  <c r="BE1016" i="1"/>
  <c r="BM1016" i="1" s="1"/>
  <c r="AV1016" i="1"/>
  <c r="AJ1016" i="1"/>
  <c r="AI1016" i="1"/>
  <c r="AG1016" i="1"/>
  <c r="AA1016" i="1"/>
  <c r="V1016" i="1"/>
  <c r="X1016" i="1" s="1"/>
  <c r="AJ1015" i="1"/>
  <c r="AI1015" i="1"/>
  <c r="AG1015" i="1"/>
  <c r="AA1015" i="1"/>
  <c r="AC1015" i="1" s="1"/>
  <c r="BJ1014" i="1"/>
  <c r="BI1014" i="1"/>
  <c r="BH1014" i="1"/>
  <c r="BE1014" i="1"/>
  <c r="AJ1014" i="1"/>
  <c r="AF1014" i="1"/>
  <c r="AI1014" i="1" s="1"/>
  <c r="AE1014" i="1"/>
  <c r="AD1014" i="1"/>
  <c r="AA1014" i="1"/>
  <c r="V1014" i="1"/>
  <c r="X1014" i="1" s="1"/>
  <c r="AO1013" i="1"/>
  <c r="AI1013" i="1"/>
  <c r="AG1013" i="1"/>
  <c r="AA1013" i="1"/>
  <c r="BJ1012" i="1"/>
  <c r="BI1012" i="1"/>
  <c r="BH1012" i="1"/>
  <c r="BE1012" i="1"/>
  <c r="BM1012" i="1" s="1"/>
  <c r="AJ1012" i="1"/>
  <c r="AF1012" i="1"/>
  <c r="AE1012" i="1"/>
  <c r="AD1012" i="1"/>
  <c r="AA1012" i="1"/>
  <c r="V1012" i="1"/>
  <c r="X1012" i="1" s="1"/>
  <c r="BJ1011" i="1"/>
  <c r="BI1011" i="1"/>
  <c r="BH1011" i="1"/>
  <c r="BE1011" i="1"/>
  <c r="BM1011" i="1" s="1"/>
  <c r="AV1011" i="1"/>
  <c r="AJ1011" i="1"/>
  <c r="AI1011" i="1"/>
  <c r="AG1011" i="1"/>
  <c r="AA1011" i="1"/>
  <c r="V1011" i="1"/>
  <c r="X1011" i="1" s="1"/>
  <c r="BJ1010" i="1"/>
  <c r="BI1010" i="1"/>
  <c r="BH1010" i="1"/>
  <c r="BE1010" i="1"/>
  <c r="AJ1010" i="1"/>
  <c r="AI1010" i="1"/>
  <c r="AG1010" i="1"/>
  <c r="AA1010" i="1"/>
  <c r="V1010" i="1"/>
  <c r="X1010" i="1" s="1"/>
  <c r="BJ1009" i="1"/>
  <c r="BI1009" i="1"/>
  <c r="BH1009" i="1"/>
  <c r="BE1009" i="1"/>
  <c r="BM1009" i="1" s="1"/>
  <c r="AJ1009" i="1"/>
  <c r="AP1009" i="1" s="1"/>
  <c r="AQ1009" i="1" s="1"/>
  <c r="AI1009" i="1"/>
  <c r="AG1009" i="1"/>
  <c r="AY1009" i="1" s="1"/>
  <c r="AA1009" i="1"/>
  <c r="AC1009" i="1" s="1"/>
  <c r="V1009" i="1"/>
  <c r="X1009" i="1" s="1"/>
  <c r="BJ1008" i="1"/>
  <c r="BI1008" i="1"/>
  <c r="BH1008" i="1"/>
  <c r="BE1008" i="1"/>
  <c r="AV1008" i="1"/>
  <c r="AJ1008" i="1"/>
  <c r="AI1008" i="1"/>
  <c r="AG1008" i="1"/>
  <c r="AA1008" i="1"/>
  <c r="AB1008" i="1" s="1"/>
  <c r="V1008" i="1"/>
  <c r="X1008" i="1" s="1"/>
  <c r="BJ1007" i="1"/>
  <c r="BI1007" i="1"/>
  <c r="BH1007" i="1"/>
  <c r="BE1007" i="1"/>
  <c r="AV1007" i="1"/>
  <c r="AJ1007" i="1"/>
  <c r="AI1007" i="1"/>
  <c r="AG1007" i="1"/>
  <c r="AY1007" i="1" s="1"/>
  <c r="AA1007" i="1"/>
  <c r="AB1007" i="1" s="1"/>
  <c r="V1007" i="1"/>
  <c r="X1007" i="1" s="1"/>
  <c r="BJ1006" i="1"/>
  <c r="BI1006" i="1"/>
  <c r="BH1006" i="1"/>
  <c r="BE1006" i="1"/>
  <c r="BM1006" i="1" s="1"/>
  <c r="AJ1006" i="1"/>
  <c r="AO1006" i="1" s="1"/>
  <c r="AI1006" i="1"/>
  <c r="AG1006" i="1"/>
  <c r="AX1006" i="1" s="1"/>
  <c r="AA1006" i="1"/>
  <c r="AC1006" i="1" s="1"/>
  <c r="V1006" i="1"/>
  <c r="X1006" i="1" s="1"/>
  <c r="BJ1005" i="1"/>
  <c r="BI1005" i="1"/>
  <c r="BH1005" i="1"/>
  <c r="BE1005" i="1"/>
  <c r="AJ1005" i="1"/>
  <c r="AI1005" i="1"/>
  <c r="AG1005" i="1"/>
  <c r="AX1005" i="1" s="1"/>
  <c r="AA1005" i="1"/>
  <c r="V1005" i="1"/>
  <c r="X1005" i="1" s="1"/>
  <c r="BJ1004" i="1"/>
  <c r="BI1004" i="1"/>
  <c r="BH1004" i="1"/>
  <c r="BE1004" i="1"/>
  <c r="BM1004" i="1" s="1"/>
  <c r="AV1004" i="1"/>
  <c r="AJ1004" i="1"/>
  <c r="AI1004" i="1"/>
  <c r="AG1004" i="1"/>
  <c r="AX1004" i="1" s="1"/>
  <c r="AA1004" i="1"/>
  <c r="AC1004" i="1" s="1"/>
  <c r="V1004" i="1"/>
  <c r="X1004" i="1" s="1"/>
  <c r="BJ1003" i="1"/>
  <c r="BI1003" i="1"/>
  <c r="BH1003" i="1"/>
  <c r="BE1003" i="1"/>
  <c r="BM1003" i="1" s="1"/>
  <c r="AJ1003" i="1"/>
  <c r="AI1003" i="1"/>
  <c r="AG1003" i="1"/>
  <c r="AY1003" i="1" s="1"/>
  <c r="AA1003" i="1"/>
  <c r="V1003" i="1"/>
  <c r="X1003" i="1" s="1"/>
  <c r="AJ1002" i="1"/>
  <c r="AO1002" i="1" s="1"/>
  <c r="AI1002" i="1"/>
  <c r="AG1002" i="1"/>
  <c r="AA1002" i="1"/>
  <c r="BJ1001" i="1"/>
  <c r="BI1001" i="1"/>
  <c r="BH1001" i="1"/>
  <c r="BE1001" i="1"/>
  <c r="BM1001" i="1" s="1"/>
  <c r="AV1001" i="1"/>
  <c r="AJ1001" i="1"/>
  <c r="AF1001" i="1"/>
  <c r="AI1001" i="1" s="1"/>
  <c r="AE1001" i="1"/>
  <c r="AD1001" i="1"/>
  <c r="AA1001" i="1"/>
  <c r="V1001" i="1"/>
  <c r="X1001" i="1" s="1"/>
  <c r="BJ1000" i="1"/>
  <c r="BI1000" i="1"/>
  <c r="BH1000" i="1"/>
  <c r="BE1000" i="1"/>
  <c r="BM1000" i="1" s="1"/>
  <c r="AV1000" i="1"/>
  <c r="AJ1000" i="1"/>
  <c r="AI1000" i="1"/>
  <c r="AG1000" i="1"/>
  <c r="AY1000" i="1" s="1"/>
  <c r="AA1000" i="1"/>
  <c r="V1000" i="1"/>
  <c r="X1000" i="1" s="1"/>
  <c r="BJ999" i="1"/>
  <c r="BI999" i="1"/>
  <c r="BH999" i="1"/>
  <c r="BE999" i="1"/>
  <c r="BM999" i="1" s="1"/>
  <c r="AV999" i="1"/>
  <c r="AJ999" i="1"/>
  <c r="AI999" i="1"/>
  <c r="AG999" i="1"/>
  <c r="AY999" i="1" s="1"/>
  <c r="AA999" i="1"/>
  <c r="V999" i="1"/>
  <c r="X999" i="1" s="1"/>
  <c r="BJ998" i="1"/>
  <c r="BI998" i="1"/>
  <c r="BH998" i="1"/>
  <c r="BE998" i="1"/>
  <c r="AJ998" i="1"/>
  <c r="AO998" i="1" s="1"/>
  <c r="AI998" i="1"/>
  <c r="AG998" i="1"/>
  <c r="AA998" i="1"/>
  <c r="AB998" i="1" s="1"/>
  <c r="V998" i="1"/>
  <c r="X998" i="1" s="1"/>
  <c r="BJ997" i="1"/>
  <c r="BI997" i="1"/>
  <c r="BH997" i="1"/>
  <c r="BE997" i="1"/>
  <c r="AJ997" i="1"/>
  <c r="AI997" i="1"/>
  <c r="AG997" i="1"/>
  <c r="AY997" i="1" s="1"/>
  <c r="AA997" i="1"/>
  <c r="V997" i="1"/>
  <c r="X997" i="1" s="1"/>
  <c r="BJ996" i="1"/>
  <c r="BI996" i="1"/>
  <c r="BH996" i="1"/>
  <c r="BE996" i="1"/>
  <c r="AV996" i="1"/>
  <c r="AJ996" i="1"/>
  <c r="AI996" i="1"/>
  <c r="AG996" i="1"/>
  <c r="AA996" i="1"/>
  <c r="AB996" i="1" s="1"/>
  <c r="V996" i="1"/>
  <c r="X996" i="1" s="1"/>
  <c r="BJ995" i="1"/>
  <c r="BI995" i="1"/>
  <c r="BH995" i="1"/>
  <c r="BE995" i="1"/>
  <c r="AJ995" i="1"/>
  <c r="AO995" i="1" s="1"/>
  <c r="AI995" i="1"/>
  <c r="AG995" i="1"/>
  <c r="AX995" i="1" s="1"/>
  <c r="AA995" i="1"/>
  <c r="AC995" i="1" s="1"/>
  <c r="V995" i="1"/>
  <c r="X995" i="1" s="1"/>
  <c r="BJ994" i="1"/>
  <c r="BI994" i="1"/>
  <c r="BH994" i="1"/>
  <c r="BE994" i="1"/>
  <c r="AV994" i="1"/>
  <c r="AJ994" i="1"/>
  <c r="AI994" i="1"/>
  <c r="AG994" i="1"/>
  <c r="AX994" i="1" s="1"/>
  <c r="AA994" i="1"/>
  <c r="V994" i="1"/>
  <c r="X994" i="1" s="1"/>
  <c r="BJ993" i="1"/>
  <c r="BI993" i="1"/>
  <c r="BH993" i="1"/>
  <c r="BE993" i="1"/>
  <c r="AV993" i="1"/>
  <c r="AJ993" i="1"/>
  <c r="AO993" i="1" s="1"/>
  <c r="AI993" i="1"/>
  <c r="AG993" i="1"/>
  <c r="AA993" i="1"/>
  <c r="V993" i="1"/>
  <c r="X993" i="1" s="1"/>
  <c r="BJ992" i="1"/>
  <c r="BI992" i="1"/>
  <c r="BH992" i="1"/>
  <c r="BE992" i="1"/>
  <c r="BM992" i="1" s="1"/>
  <c r="AV992" i="1"/>
  <c r="AJ992" i="1"/>
  <c r="AI992" i="1"/>
  <c r="AG992" i="1"/>
  <c r="AA992" i="1"/>
  <c r="AC992" i="1" s="1"/>
  <c r="V992" i="1"/>
  <c r="X992" i="1" s="1"/>
  <c r="BJ991" i="1"/>
  <c r="BI991" i="1"/>
  <c r="BH991" i="1"/>
  <c r="BE991" i="1"/>
  <c r="AJ991" i="1"/>
  <c r="AI991" i="1"/>
  <c r="AG991" i="1"/>
  <c r="AY991" i="1" s="1"/>
  <c r="AA991" i="1"/>
  <c r="AC991" i="1" s="1"/>
  <c r="V991" i="1"/>
  <c r="X991" i="1" s="1"/>
  <c r="BJ990" i="1"/>
  <c r="BI990" i="1"/>
  <c r="BH990" i="1"/>
  <c r="BE990" i="1"/>
  <c r="BM990" i="1" s="1"/>
  <c r="AV990" i="1"/>
  <c r="AJ990" i="1"/>
  <c r="AI990" i="1"/>
  <c r="AG990" i="1"/>
  <c r="AA990" i="1"/>
  <c r="V990" i="1"/>
  <c r="X990" i="1" s="1"/>
  <c r="BJ989" i="1"/>
  <c r="BI989" i="1"/>
  <c r="BH989" i="1"/>
  <c r="BE989" i="1"/>
  <c r="BM989" i="1" s="1"/>
  <c r="AJ989" i="1"/>
  <c r="AI989" i="1"/>
  <c r="AG989" i="1"/>
  <c r="AX989" i="1" s="1"/>
  <c r="AA989" i="1"/>
  <c r="AC989" i="1" s="1"/>
  <c r="V989" i="1"/>
  <c r="X989" i="1" s="1"/>
  <c r="BJ988" i="1"/>
  <c r="BI988" i="1"/>
  <c r="BH988" i="1"/>
  <c r="BE988" i="1"/>
  <c r="AJ988" i="1"/>
  <c r="AI988" i="1"/>
  <c r="AG988" i="1"/>
  <c r="AY988" i="1" s="1"/>
  <c r="AA988" i="1"/>
  <c r="AC988" i="1" s="1"/>
  <c r="V988" i="1"/>
  <c r="X988" i="1" s="1"/>
  <c r="BJ987" i="1"/>
  <c r="BI987" i="1"/>
  <c r="BH987" i="1"/>
  <c r="BE987" i="1"/>
  <c r="BM987" i="1" s="1"/>
  <c r="AV987" i="1"/>
  <c r="AJ987" i="1"/>
  <c r="AI987" i="1"/>
  <c r="AG987" i="1"/>
  <c r="AY987" i="1" s="1"/>
  <c r="AA987" i="1"/>
  <c r="AC987" i="1" s="1"/>
  <c r="V987" i="1"/>
  <c r="X987" i="1" s="1"/>
  <c r="BJ986" i="1"/>
  <c r="BI986" i="1"/>
  <c r="BH986" i="1"/>
  <c r="BE986" i="1"/>
  <c r="BM986" i="1" s="1"/>
  <c r="AV986" i="1"/>
  <c r="AJ986" i="1"/>
  <c r="AI986" i="1"/>
  <c r="AG986" i="1"/>
  <c r="AY986" i="1" s="1"/>
  <c r="AA986" i="1"/>
  <c r="AB986" i="1" s="1"/>
  <c r="V986" i="1"/>
  <c r="X986" i="1" s="1"/>
  <c r="BJ985" i="1"/>
  <c r="BI985" i="1"/>
  <c r="BH985" i="1"/>
  <c r="BE985" i="1"/>
  <c r="AV985" i="1"/>
  <c r="AJ985" i="1"/>
  <c r="AI985" i="1"/>
  <c r="AG985" i="1"/>
  <c r="AY985" i="1" s="1"/>
  <c r="AA985" i="1"/>
  <c r="V985" i="1"/>
  <c r="X985" i="1" s="1"/>
  <c r="BJ984" i="1"/>
  <c r="BI984" i="1"/>
  <c r="BH984" i="1"/>
  <c r="BE984" i="1"/>
  <c r="BM984" i="1" s="1"/>
  <c r="AV984" i="1"/>
  <c r="AJ984" i="1"/>
  <c r="AI984" i="1"/>
  <c r="AG984" i="1"/>
  <c r="AA984" i="1"/>
  <c r="V984" i="1"/>
  <c r="X984" i="1" s="1"/>
  <c r="BJ983" i="1"/>
  <c r="BI983" i="1"/>
  <c r="BH983" i="1"/>
  <c r="BE983" i="1"/>
  <c r="BM983" i="1" s="1"/>
  <c r="AJ983" i="1"/>
  <c r="AO983" i="1" s="1"/>
  <c r="AI983" i="1"/>
  <c r="AG983" i="1"/>
  <c r="AX983" i="1" s="1"/>
  <c r="AA983" i="1"/>
  <c r="V983" i="1"/>
  <c r="X983" i="1" s="1"/>
  <c r="BJ982" i="1"/>
  <c r="BI982" i="1"/>
  <c r="BH982" i="1"/>
  <c r="BE982" i="1"/>
  <c r="AJ982" i="1"/>
  <c r="AI982" i="1"/>
  <c r="AG982" i="1"/>
  <c r="AY982" i="1" s="1"/>
  <c r="AA982" i="1"/>
  <c r="V982" i="1"/>
  <c r="X982" i="1" s="1"/>
  <c r="BJ981" i="1"/>
  <c r="BI981" i="1"/>
  <c r="BH981" i="1"/>
  <c r="BE981" i="1"/>
  <c r="AJ981" i="1"/>
  <c r="AI981" i="1"/>
  <c r="AG981" i="1"/>
  <c r="AA981" i="1"/>
  <c r="AB981" i="1" s="1"/>
  <c r="V981" i="1"/>
  <c r="X981" i="1" s="1"/>
  <c r="BJ980" i="1"/>
  <c r="BI980" i="1"/>
  <c r="BH980" i="1"/>
  <c r="BE980" i="1"/>
  <c r="AV980" i="1"/>
  <c r="AJ980" i="1"/>
  <c r="AI980" i="1"/>
  <c r="AG980" i="1"/>
  <c r="AA980" i="1"/>
  <c r="AC980" i="1" s="1"/>
  <c r="V980" i="1"/>
  <c r="X980" i="1" s="1"/>
  <c r="BJ979" i="1"/>
  <c r="BI979" i="1"/>
  <c r="BH979" i="1"/>
  <c r="BE979" i="1"/>
  <c r="AV979" i="1"/>
  <c r="AJ979" i="1"/>
  <c r="AI979" i="1"/>
  <c r="AG979" i="1"/>
  <c r="AX979" i="1" s="1"/>
  <c r="AA979" i="1"/>
  <c r="V979" i="1"/>
  <c r="X979" i="1" s="1"/>
  <c r="BJ978" i="1"/>
  <c r="BI978" i="1"/>
  <c r="BH978" i="1"/>
  <c r="BE978" i="1"/>
  <c r="BM978" i="1" s="1"/>
  <c r="AJ978" i="1"/>
  <c r="AI978" i="1"/>
  <c r="AG978" i="1"/>
  <c r="AA978" i="1"/>
  <c r="AC978" i="1" s="1"/>
  <c r="V978" i="1"/>
  <c r="X978" i="1" s="1"/>
  <c r="BJ977" i="1"/>
  <c r="BI977" i="1"/>
  <c r="BH977" i="1"/>
  <c r="BE977" i="1"/>
  <c r="AJ977" i="1"/>
  <c r="AI977" i="1"/>
  <c r="AG977" i="1"/>
  <c r="AA977" i="1"/>
  <c r="AC977" i="1" s="1"/>
  <c r="V977" i="1"/>
  <c r="X977" i="1" s="1"/>
  <c r="BJ976" i="1"/>
  <c r="BI976" i="1"/>
  <c r="BH976" i="1"/>
  <c r="BE976" i="1"/>
  <c r="BM976" i="1" s="1"/>
  <c r="AV976" i="1"/>
  <c r="AJ976" i="1"/>
  <c r="AI976" i="1"/>
  <c r="AG976" i="1"/>
  <c r="AY976" i="1" s="1"/>
  <c r="AA976" i="1"/>
  <c r="AC976" i="1" s="1"/>
  <c r="V976" i="1"/>
  <c r="X976" i="1" s="1"/>
  <c r="BJ975" i="1"/>
  <c r="BI975" i="1"/>
  <c r="BH975" i="1"/>
  <c r="BE975" i="1"/>
  <c r="AJ975" i="1"/>
  <c r="AI975" i="1"/>
  <c r="AG975" i="1"/>
  <c r="AX975" i="1" s="1"/>
  <c r="AA975" i="1"/>
  <c r="AC975" i="1" s="1"/>
  <c r="V975" i="1"/>
  <c r="X975" i="1" s="1"/>
  <c r="BJ974" i="1"/>
  <c r="BI974" i="1"/>
  <c r="BH974" i="1"/>
  <c r="BE974" i="1"/>
  <c r="BM974" i="1" s="1"/>
  <c r="AJ974" i="1"/>
  <c r="AI974" i="1"/>
  <c r="AG974" i="1"/>
  <c r="AY974" i="1" s="1"/>
  <c r="AA974" i="1"/>
  <c r="V974" i="1"/>
  <c r="X974" i="1" s="1"/>
  <c r="BJ973" i="1"/>
  <c r="BI973" i="1"/>
  <c r="BH973" i="1"/>
  <c r="BE973" i="1"/>
  <c r="BM973" i="1" s="1"/>
  <c r="AJ973" i="1"/>
  <c r="AI973" i="1"/>
  <c r="AG973" i="1"/>
  <c r="AA973" i="1"/>
  <c r="AB973" i="1" s="1"/>
  <c r="V973" i="1"/>
  <c r="X973" i="1" s="1"/>
  <c r="BJ972" i="1"/>
  <c r="BI972" i="1"/>
  <c r="BH972" i="1"/>
  <c r="BE972" i="1"/>
  <c r="AJ972" i="1"/>
  <c r="AI972" i="1"/>
  <c r="AG972" i="1"/>
  <c r="AY972" i="1" s="1"/>
  <c r="AA972" i="1"/>
  <c r="V972" i="1"/>
  <c r="X972" i="1" s="1"/>
  <c r="BJ971" i="1"/>
  <c r="BI971" i="1"/>
  <c r="BH971" i="1"/>
  <c r="BE971" i="1"/>
  <c r="AV971" i="1"/>
  <c r="AJ971" i="1"/>
  <c r="AI971" i="1"/>
  <c r="AG971" i="1"/>
  <c r="AX971" i="1" s="1"/>
  <c r="AA971" i="1"/>
  <c r="AB971" i="1" s="1"/>
  <c r="V971" i="1"/>
  <c r="X971" i="1" s="1"/>
  <c r="BJ970" i="1"/>
  <c r="BI970" i="1"/>
  <c r="BH970" i="1"/>
  <c r="BE970" i="1"/>
  <c r="BM970" i="1" s="1"/>
  <c r="AV970" i="1"/>
  <c r="AJ970" i="1"/>
  <c r="AI970" i="1"/>
  <c r="AG970" i="1"/>
  <c r="AA970" i="1"/>
  <c r="AC970" i="1" s="1"/>
  <c r="V970" i="1"/>
  <c r="X970" i="1" s="1"/>
  <c r="BJ969" i="1"/>
  <c r="BI969" i="1"/>
  <c r="BH969" i="1"/>
  <c r="BE969" i="1"/>
  <c r="BM969" i="1" s="1"/>
  <c r="AV969" i="1"/>
  <c r="AJ969" i="1"/>
  <c r="AI969" i="1"/>
  <c r="AG969" i="1"/>
  <c r="AY969" i="1" s="1"/>
  <c r="AA969" i="1"/>
  <c r="V969" i="1"/>
  <c r="X969" i="1" s="1"/>
  <c r="BJ968" i="1"/>
  <c r="BI968" i="1"/>
  <c r="BH968" i="1"/>
  <c r="BE968" i="1"/>
  <c r="BM968" i="1" s="1"/>
  <c r="AV968" i="1"/>
  <c r="AJ968" i="1"/>
  <c r="AI968" i="1"/>
  <c r="AG968" i="1"/>
  <c r="AA968" i="1"/>
  <c r="AC968" i="1" s="1"/>
  <c r="V968" i="1"/>
  <c r="X968" i="1" s="1"/>
  <c r="BJ967" i="1"/>
  <c r="BI967" i="1"/>
  <c r="BH967" i="1"/>
  <c r="BE967" i="1"/>
  <c r="BM967" i="1" s="1"/>
  <c r="AV967" i="1"/>
  <c r="AJ967" i="1"/>
  <c r="AO967" i="1" s="1"/>
  <c r="AI967" i="1"/>
  <c r="AG967" i="1"/>
  <c r="AA967" i="1"/>
  <c r="AB967" i="1" s="1"/>
  <c r="V967" i="1"/>
  <c r="X967" i="1" s="1"/>
  <c r="BJ966" i="1"/>
  <c r="BI966" i="1"/>
  <c r="BH966" i="1"/>
  <c r="BE966" i="1"/>
  <c r="AJ966" i="1"/>
  <c r="AI966" i="1"/>
  <c r="AG966" i="1"/>
  <c r="AY966" i="1" s="1"/>
  <c r="AA966" i="1"/>
  <c r="V966" i="1"/>
  <c r="X966" i="1" s="1"/>
  <c r="BJ965" i="1"/>
  <c r="BI965" i="1"/>
  <c r="BH965" i="1"/>
  <c r="BE965" i="1"/>
  <c r="AJ965" i="1"/>
  <c r="AI965" i="1"/>
  <c r="AG965" i="1"/>
  <c r="AY965" i="1" s="1"/>
  <c r="AA965" i="1"/>
  <c r="AC965" i="1" s="1"/>
  <c r="V965" i="1"/>
  <c r="X965" i="1" s="1"/>
  <c r="BJ964" i="1"/>
  <c r="BI964" i="1"/>
  <c r="BH964" i="1"/>
  <c r="BE964" i="1"/>
  <c r="AV964" i="1"/>
  <c r="AJ964" i="1"/>
  <c r="AI964" i="1"/>
  <c r="AG964" i="1"/>
  <c r="AY964" i="1" s="1"/>
  <c r="AA964" i="1"/>
  <c r="AC964" i="1" s="1"/>
  <c r="V964" i="1"/>
  <c r="X964" i="1" s="1"/>
  <c r="BJ963" i="1"/>
  <c r="BI963" i="1"/>
  <c r="BH963" i="1"/>
  <c r="BE963" i="1"/>
  <c r="AV963" i="1"/>
  <c r="AJ963" i="1"/>
  <c r="AI963" i="1"/>
  <c r="AG963" i="1"/>
  <c r="AX963" i="1" s="1"/>
  <c r="AA963" i="1"/>
  <c r="AC963" i="1" s="1"/>
  <c r="V963" i="1"/>
  <c r="X963" i="1" s="1"/>
  <c r="BJ962" i="1"/>
  <c r="BI962" i="1"/>
  <c r="BH962" i="1"/>
  <c r="BE962" i="1"/>
  <c r="BM962" i="1" s="1"/>
  <c r="AJ962" i="1"/>
  <c r="AI962" i="1"/>
  <c r="AG962" i="1"/>
  <c r="AY962" i="1" s="1"/>
  <c r="AA962" i="1"/>
  <c r="V962" i="1"/>
  <c r="X962" i="1" s="1"/>
  <c r="BJ961" i="1"/>
  <c r="BI961" i="1"/>
  <c r="BH961" i="1"/>
  <c r="BE961" i="1"/>
  <c r="BM961" i="1" s="1"/>
  <c r="AV961" i="1"/>
  <c r="AJ961" i="1"/>
  <c r="AI961" i="1"/>
  <c r="AG961" i="1"/>
  <c r="AA961" i="1"/>
  <c r="AC961" i="1" s="1"/>
  <c r="V961" i="1"/>
  <c r="X961" i="1" s="1"/>
  <c r="BJ960" i="1"/>
  <c r="BI960" i="1"/>
  <c r="BH960" i="1"/>
  <c r="BE960" i="1"/>
  <c r="AV960" i="1"/>
  <c r="AJ960" i="1"/>
  <c r="AI960" i="1"/>
  <c r="AG960" i="1"/>
  <c r="AA960" i="1"/>
  <c r="V960" i="1"/>
  <c r="X960" i="1" s="1"/>
  <c r="BJ959" i="1"/>
  <c r="BI959" i="1"/>
  <c r="BH959" i="1"/>
  <c r="BE959" i="1"/>
  <c r="BM959" i="1" s="1"/>
  <c r="AJ959" i="1"/>
  <c r="AI959" i="1"/>
  <c r="AG959" i="1"/>
  <c r="AA959" i="1"/>
  <c r="V959" i="1"/>
  <c r="X959" i="1" s="1"/>
  <c r="BJ958" i="1"/>
  <c r="BI958" i="1"/>
  <c r="BH958" i="1"/>
  <c r="BE958" i="1"/>
  <c r="AV958" i="1"/>
  <c r="AJ958" i="1"/>
  <c r="AI958" i="1"/>
  <c r="AG958" i="1"/>
  <c r="AA958" i="1"/>
  <c r="V958" i="1"/>
  <c r="X958" i="1" s="1"/>
  <c r="BJ957" i="1"/>
  <c r="BI957" i="1"/>
  <c r="BH957" i="1"/>
  <c r="BE957" i="1"/>
  <c r="BM957" i="1" s="1"/>
  <c r="AV957" i="1"/>
  <c r="AJ957" i="1"/>
  <c r="AO957" i="1" s="1"/>
  <c r="AI957" i="1"/>
  <c r="AG957" i="1"/>
  <c r="AY957" i="1" s="1"/>
  <c r="AA957" i="1"/>
  <c r="V957" i="1"/>
  <c r="X957" i="1" s="1"/>
  <c r="BJ956" i="1"/>
  <c r="BI956" i="1"/>
  <c r="BH956" i="1"/>
  <c r="BE956" i="1"/>
  <c r="AV956" i="1"/>
  <c r="AJ956" i="1"/>
  <c r="AI956" i="1"/>
  <c r="AG956" i="1"/>
  <c r="AY956" i="1" s="1"/>
  <c r="AA956" i="1"/>
  <c r="AB956" i="1" s="1"/>
  <c r="V956" i="1"/>
  <c r="X956" i="1" s="1"/>
  <c r="BJ955" i="1"/>
  <c r="BI955" i="1"/>
  <c r="BH955" i="1"/>
  <c r="BE955" i="1"/>
  <c r="BM955" i="1" s="1"/>
  <c r="AV955" i="1"/>
  <c r="AJ955" i="1"/>
  <c r="AI955" i="1"/>
  <c r="AG955" i="1"/>
  <c r="AA955" i="1"/>
  <c r="AC955" i="1" s="1"/>
  <c r="V955" i="1"/>
  <c r="X955" i="1" s="1"/>
  <c r="AJ954" i="1"/>
  <c r="AI954" i="1"/>
  <c r="AG954" i="1"/>
  <c r="AA954" i="1"/>
  <c r="AC954" i="1" s="1"/>
  <c r="BJ953" i="1"/>
  <c r="BI953" i="1"/>
  <c r="BH953" i="1"/>
  <c r="BE953" i="1"/>
  <c r="AV953" i="1"/>
  <c r="AJ953" i="1"/>
  <c r="AF953" i="1"/>
  <c r="AE953" i="1"/>
  <c r="AD953" i="1"/>
  <c r="AA953" i="1"/>
  <c r="V953" i="1"/>
  <c r="X953" i="1" s="1"/>
  <c r="BJ952" i="1"/>
  <c r="BI952" i="1"/>
  <c r="BH952" i="1"/>
  <c r="BE952" i="1"/>
  <c r="BM952" i="1" s="1"/>
  <c r="AJ952" i="1"/>
  <c r="AI952" i="1"/>
  <c r="AG952" i="1"/>
  <c r="AA952" i="1"/>
  <c r="V952" i="1"/>
  <c r="X952" i="1" s="1"/>
  <c r="AJ951" i="1"/>
  <c r="AI951" i="1"/>
  <c r="AG951" i="1"/>
  <c r="AA951" i="1"/>
  <c r="AC951" i="1" s="1"/>
  <c r="BJ950" i="1"/>
  <c r="BI950" i="1"/>
  <c r="BH950" i="1"/>
  <c r="BE950" i="1"/>
  <c r="AJ950" i="1"/>
  <c r="AF950" i="1"/>
  <c r="AE950" i="1"/>
  <c r="AD950" i="1"/>
  <c r="AA950" i="1"/>
  <c r="V950" i="1"/>
  <c r="X950" i="1" s="1"/>
  <c r="BJ949" i="1"/>
  <c r="BI949" i="1"/>
  <c r="BH949" i="1"/>
  <c r="BE949" i="1"/>
  <c r="BM949" i="1" s="1"/>
  <c r="AJ949" i="1"/>
  <c r="AO949" i="1" s="1"/>
  <c r="AI949" i="1"/>
  <c r="AG949" i="1"/>
  <c r="AY949" i="1" s="1"/>
  <c r="AA949" i="1"/>
  <c r="AC949" i="1" s="1"/>
  <c r="V949" i="1"/>
  <c r="X949" i="1" s="1"/>
  <c r="BJ948" i="1"/>
  <c r="BI948" i="1"/>
  <c r="BH948" i="1"/>
  <c r="BE948" i="1"/>
  <c r="BM948" i="1" s="1"/>
  <c r="AJ948" i="1"/>
  <c r="AI948" i="1"/>
  <c r="AG948" i="1"/>
  <c r="AX948" i="1" s="1"/>
  <c r="AA948" i="1"/>
  <c r="AC948" i="1" s="1"/>
  <c r="V948" i="1"/>
  <c r="X948" i="1" s="1"/>
  <c r="BJ947" i="1"/>
  <c r="BI947" i="1"/>
  <c r="BH947" i="1"/>
  <c r="BE947" i="1"/>
  <c r="BM947" i="1" s="1"/>
  <c r="AV947" i="1"/>
  <c r="AJ947" i="1"/>
  <c r="AI947" i="1"/>
  <c r="AG947" i="1"/>
  <c r="AA947" i="1"/>
  <c r="V947" i="1"/>
  <c r="X947" i="1" s="1"/>
  <c r="AJ946" i="1"/>
  <c r="AO946" i="1" s="1"/>
  <c r="AI946" i="1"/>
  <c r="AG946" i="1"/>
  <c r="AA946" i="1"/>
  <c r="AB946" i="1" s="1"/>
  <c r="BJ945" i="1"/>
  <c r="BI945" i="1"/>
  <c r="BH945" i="1"/>
  <c r="BE945" i="1"/>
  <c r="BM945" i="1" s="1"/>
  <c r="AV945" i="1"/>
  <c r="AJ945" i="1"/>
  <c r="AI945" i="1"/>
  <c r="AD945" i="1"/>
  <c r="AG945" i="1" s="1"/>
  <c r="AA945" i="1"/>
  <c r="V945" i="1"/>
  <c r="X945" i="1" s="1"/>
  <c r="BJ944" i="1"/>
  <c r="BI944" i="1"/>
  <c r="BH944" i="1"/>
  <c r="BE944" i="1"/>
  <c r="AJ944" i="1"/>
  <c r="AI944" i="1"/>
  <c r="AG944" i="1"/>
  <c r="AY944" i="1" s="1"/>
  <c r="AA944" i="1"/>
  <c r="AC944" i="1" s="1"/>
  <c r="V944" i="1"/>
  <c r="X944" i="1" s="1"/>
  <c r="BJ943" i="1"/>
  <c r="BI943" i="1"/>
  <c r="BH943" i="1"/>
  <c r="BE943" i="1"/>
  <c r="BM943" i="1" s="1"/>
  <c r="AV943" i="1"/>
  <c r="AJ943" i="1"/>
  <c r="AI943" i="1"/>
  <c r="AG943" i="1"/>
  <c r="AA943" i="1"/>
  <c r="AB943" i="1" s="1"/>
  <c r="V943" i="1"/>
  <c r="X943" i="1" s="1"/>
  <c r="BJ942" i="1"/>
  <c r="BI942" i="1"/>
  <c r="BH942" i="1"/>
  <c r="BE942" i="1"/>
  <c r="BM942" i="1" s="1"/>
  <c r="AV942" i="1"/>
  <c r="AJ942" i="1"/>
  <c r="AI942" i="1"/>
  <c r="AG942" i="1"/>
  <c r="AY942" i="1" s="1"/>
  <c r="AA942" i="1"/>
  <c r="AB942" i="1" s="1"/>
  <c r="V942" i="1"/>
  <c r="X942" i="1" s="1"/>
  <c r="BJ941" i="1"/>
  <c r="BI941" i="1"/>
  <c r="BH941" i="1"/>
  <c r="BE941" i="1"/>
  <c r="AV941" i="1"/>
  <c r="AJ941" i="1"/>
  <c r="AI941" i="1"/>
  <c r="AG941" i="1"/>
  <c r="AA941" i="1"/>
  <c r="V941" i="1"/>
  <c r="X941" i="1" s="1"/>
  <c r="BJ940" i="1"/>
  <c r="BI940" i="1"/>
  <c r="BH940" i="1"/>
  <c r="BE940" i="1"/>
  <c r="BM940" i="1" s="1"/>
  <c r="AV940" i="1"/>
  <c r="AJ940" i="1"/>
  <c r="AI940" i="1"/>
  <c r="AG940" i="1"/>
  <c r="AA940" i="1"/>
  <c r="AB940" i="1" s="1"/>
  <c r="V940" i="1"/>
  <c r="X940" i="1" s="1"/>
  <c r="BJ939" i="1"/>
  <c r="BI939" i="1"/>
  <c r="BH939" i="1"/>
  <c r="BE939" i="1"/>
  <c r="AJ939" i="1"/>
  <c r="AI939" i="1"/>
  <c r="AG939" i="1"/>
  <c r="AX939" i="1" s="1"/>
  <c r="AA939" i="1"/>
  <c r="V939" i="1"/>
  <c r="X939" i="1" s="1"/>
  <c r="BJ938" i="1"/>
  <c r="BI938" i="1"/>
  <c r="BH938" i="1"/>
  <c r="BE938" i="1"/>
  <c r="AV938" i="1"/>
  <c r="AJ938" i="1"/>
  <c r="AI938" i="1"/>
  <c r="AG938" i="1"/>
  <c r="AA938" i="1"/>
  <c r="V938" i="1"/>
  <c r="X938" i="1" s="1"/>
  <c r="BJ937" i="1"/>
  <c r="BI937" i="1"/>
  <c r="BH937" i="1"/>
  <c r="BE937" i="1"/>
  <c r="BM937" i="1" s="1"/>
  <c r="AV937" i="1"/>
  <c r="AJ937" i="1"/>
  <c r="AI937" i="1"/>
  <c r="AG937" i="1"/>
  <c r="AA937" i="1"/>
  <c r="AB937" i="1" s="1"/>
  <c r="V937" i="1"/>
  <c r="X937" i="1" s="1"/>
  <c r="BJ936" i="1"/>
  <c r="BI936" i="1"/>
  <c r="BH936" i="1"/>
  <c r="BE936" i="1"/>
  <c r="BM936" i="1" s="1"/>
  <c r="AV936" i="1"/>
  <c r="AJ936" i="1"/>
  <c r="AI936" i="1"/>
  <c r="AG936" i="1"/>
  <c r="AY936" i="1" s="1"/>
  <c r="AA936" i="1"/>
  <c r="AC936" i="1" s="1"/>
  <c r="V936" i="1"/>
  <c r="X936" i="1" s="1"/>
  <c r="BJ935" i="1"/>
  <c r="BI935" i="1"/>
  <c r="BH935" i="1"/>
  <c r="BE935" i="1"/>
  <c r="BM935" i="1" s="1"/>
  <c r="AV935" i="1"/>
  <c r="AJ935" i="1"/>
  <c r="AI935" i="1"/>
  <c r="AG935" i="1"/>
  <c r="AA935" i="1"/>
  <c r="AB935" i="1" s="1"/>
  <c r="V935" i="1"/>
  <c r="X935" i="1" s="1"/>
  <c r="BJ934" i="1"/>
  <c r="BI934" i="1"/>
  <c r="BH934" i="1"/>
  <c r="BE934" i="1"/>
  <c r="AV934" i="1"/>
  <c r="AJ934" i="1"/>
  <c r="AI934" i="1"/>
  <c r="AG934" i="1"/>
  <c r="AA934" i="1"/>
  <c r="AB934" i="1" s="1"/>
  <c r="V934" i="1"/>
  <c r="X934" i="1" s="1"/>
  <c r="BJ933" i="1"/>
  <c r="BI933" i="1"/>
  <c r="BH933" i="1"/>
  <c r="BE933" i="1"/>
  <c r="BM933" i="1" s="1"/>
  <c r="AV933" i="1"/>
  <c r="AJ933" i="1"/>
  <c r="AI933" i="1"/>
  <c r="AD933" i="1"/>
  <c r="AA933" i="1"/>
  <c r="V933" i="1"/>
  <c r="X933" i="1" s="1"/>
  <c r="BJ932" i="1"/>
  <c r="BI932" i="1"/>
  <c r="BH932" i="1"/>
  <c r="BE932" i="1"/>
  <c r="BM932" i="1" s="1"/>
  <c r="AV932" i="1"/>
  <c r="AJ932" i="1"/>
  <c r="AI932" i="1"/>
  <c r="AG932" i="1"/>
  <c r="AA932" i="1"/>
  <c r="V932" i="1"/>
  <c r="X932" i="1" s="1"/>
  <c r="BJ931" i="1"/>
  <c r="BI931" i="1"/>
  <c r="BH931" i="1"/>
  <c r="BE931" i="1"/>
  <c r="AJ931" i="1"/>
  <c r="AI931" i="1"/>
  <c r="AG931" i="1"/>
  <c r="AA931" i="1"/>
  <c r="V931" i="1"/>
  <c r="X931" i="1" s="1"/>
  <c r="BJ930" i="1"/>
  <c r="BI930" i="1"/>
  <c r="BH930" i="1"/>
  <c r="BE930" i="1"/>
  <c r="AJ930" i="1"/>
  <c r="AI930" i="1"/>
  <c r="AG930" i="1"/>
  <c r="AA930" i="1"/>
  <c r="AC930" i="1" s="1"/>
  <c r="V930" i="1"/>
  <c r="X930" i="1" s="1"/>
  <c r="BJ929" i="1"/>
  <c r="BI929" i="1"/>
  <c r="BH929" i="1"/>
  <c r="BE929" i="1"/>
  <c r="AV929" i="1"/>
  <c r="AJ929" i="1"/>
  <c r="AI929" i="1"/>
  <c r="AG929" i="1"/>
  <c r="AY929" i="1" s="1"/>
  <c r="AA929" i="1"/>
  <c r="V929" i="1"/>
  <c r="X929" i="1" s="1"/>
  <c r="BJ928" i="1"/>
  <c r="BI928" i="1"/>
  <c r="BH928" i="1"/>
  <c r="BE928" i="1"/>
  <c r="AJ928" i="1"/>
  <c r="AI928" i="1"/>
  <c r="AG928" i="1"/>
  <c r="AA928" i="1"/>
  <c r="V928" i="1"/>
  <c r="X928" i="1" s="1"/>
  <c r="BJ927" i="1"/>
  <c r="BI927" i="1"/>
  <c r="BH927" i="1"/>
  <c r="BE927" i="1"/>
  <c r="AJ927" i="1"/>
  <c r="AI927" i="1"/>
  <c r="AG927" i="1"/>
  <c r="AA927" i="1"/>
  <c r="AC927" i="1" s="1"/>
  <c r="V927" i="1"/>
  <c r="X927" i="1" s="1"/>
  <c r="BJ926" i="1"/>
  <c r="BI926" i="1"/>
  <c r="BH926" i="1"/>
  <c r="BE926" i="1"/>
  <c r="BM926" i="1" s="1"/>
  <c r="AV926" i="1"/>
  <c r="AJ926" i="1"/>
  <c r="AI926" i="1"/>
  <c r="AG926" i="1"/>
  <c r="AA926" i="1"/>
  <c r="AB926" i="1" s="1"/>
  <c r="V926" i="1"/>
  <c r="X926" i="1" s="1"/>
  <c r="BJ925" i="1"/>
  <c r="BI925" i="1"/>
  <c r="BH925" i="1"/>
  <c r="BE925" i="1"/>
  <c r="AV925" i="1"/>
  <c r="AJ925" i="1"/>
  <c r="AO925" i="1" s="1"/>
  <c r="AI925" i="1"/>
  <c r="AG925" i="1"/>
  <c r="AA925" i="1"/>
  <c r="AC925" i="1" s="1"/>
  <c r="V925" i="1"/>
  <c r="X925" i="1" s="1"/>
  <c r="BJ924" i="1"/>
  <c r="BI924" i="1"/>
  <c r="BH924" i="1"/>
  <c r="BE924" i="1"/>
  <c r="BM924" i="1" s="1"/>
  <c r="AV924" i="1"/>
  <c r="AL924" i="1"/>
  <c r="AJ924" i="1"/>
  <c r="AI924" i="1"/>
  <c r="AG924" i="1"/>
  <c r="AY924" i="1" s="1"/>
  <c r="AA924" i="1"/>
  <c r="AC924" i="1" s="1"/>
  <c r="V924" i="1"/>
  <c r="X924" i="1" s="1"/>
  <c r="BJ923" i="1"/>
  <c r="BI923" i="1"/>
  <c r="BH923" i="1"/>
  <c r="BE923" i="1"/>
  <c r="AJ923" i="1"/>
  <c r="AI923" i="1"/>
  <c r="AG923" i="1"/>
  <c r="AA923" i="1"/>
  <c r="AC923" i="1" s="1"/>
  <c r="V923" i="1"/>
  <c r="X923" i="1" s="1"/>
  <c r="AJ922" i="1"/>
  <c r="AI922" i="1"/>
  <c r="AG922" i="1"/>
  <c r="AA922" i="1"/>
  <c r="BJ921" i="1"/>
  <c r="BI921" i="1"/>
  <c r="BH921" i="1"/>
  <c r="BE921" i="1"/>
  <c r="AV921" i="1"/>
  <c r="AJ921" i="1"/>
  <c r="AF921" i="1"/>
  <c r="AE921" i="1"/>
  <c r="AD921" i="1"/>
  <c r="AA921" i="1"/>
  <c r="V921" i="1"/>
  <c r="X921" i="1" s="1"/>
  <c r="BJ920" i="1"/>
  <c r="BI920" i="1"/>
  <c r="BH920" i="1"/>
  <c r="BE920" i="1"/>
  <c r="BM920" i="1" s="1"/>
  <c r="AV920" i="1"/>
  <c r="AJ920" i="1"/>
  <c r="AI920" i="1"/>
  <c r="AG920" i="1"/>
  <c r="AA920" i="1"/>
  <c r="AB920" i="1" s="1"/>
  <c r="V920" i="1"/>
  <c r="X920" i="1" s="1"/>
  <c r="BJ919" i="1"/>
  <c r="BI919" i="1"/>
  <c r="BH919" i="1"/>
  <c r="BE919" i="1"/>
  <c r="AV919" i="1"/>
  <c r="AJ919" i="1"/>
  <c r="AI919" i="1"/>
  <c r="AG919" i="1"/>
  <c r="AX919" i="1" s="1"/>
  <c r="AA919" i="1"/>
  <c r="AC919" i="1" s="1"/>
  <c r="V919" i="1"/>
  <c r="X919" i="1" s="1"/>
  <c r="BJ918" i="1"/>
  <c r="BI918" i="1"/>
  <c r="BH918" i="1"/>
  <c r="BE918" i="1"/>
  <c r="BM918" i="1" s="1"/>
  <c r="AJ918" i="1"/>
  <c r="AI918" i="1"/>
  <c r="AG918" i="1"/>
  <c r="AA918" i="1"/>
  <c r="AB918" i="1" s="1"/>
  <c r="V918" i="1"/>
  <c r="X918" i="1" s="1"/>
  <c r="BJ917" i="1"/>
  <c r="BI917" i="1"/>
  <c r="BH917" i="1"/>
  <c r="BE917" i="1"/>
  <c r="AJ917" i="1"/>
  <c r="AI917" i="1"/>
  <c r="AG917" i="1"/>
  <c r="AA917" i="1"/>
  <c r="V917" i="1"/>
  <c r="X917" i="1" s="1"/>
  <c r="BJ916" i="1"/>
  <c r="BI916" i="1"/>
  <c r="BH916" i="1"/>
  <c r="BE916" i="1"/>
  <c r="AV916" i="1"/>
  <c r="AJ916" i="1"/>
  <c r="AI916" i="1"/>
  <c r="AG916" i="1"/>
  <c r="AA916" i="1"/>
  <c r="AC916" i="1" s="1"/>
  <c r="V916" i="1"/>
  <c r="X916" i="1" s="1"/>
  <c r="BJ915" i="1"/>
  <c r="BI915" i="1"/>
  <c r="BH915" i="1"/>
  <c r="BE915" i="1"/>
  <c r="BM915" i="1" s="1"/>
  <c r="AV915" i="1"/>
  <c r="AJ915" i="1"/>
  <c r="AI915" i="1"/>
  <c r="AG915" i="1"/>
  <c r="AA915" i="1"/>
  <c r="V915" i="1"/>
  <c r="X915" i="1" s="1"/>
  <c r="BJ914" i="1"/>
  <c r="BI914" i="1"/>
  <c r="BH914" i="1"/>
  <c r="BE914" i="1"/>
  <c r="BM914" i="1" s="1"/>
  <c r="AV914" i="1"/>
  <c r="AJ914" i="1"/>
  <c r="AO914" i="1" s="1"/>
  <c r="AI914" i="1"/>
  <c r="AG914" i="1"/>
  <c r="AA914" i="1"/>
  <c r="AC914" i="1" s="1"/>
  <c r="V914" i="1"/>
  <c r="X914" i="1" s="1"/>
  <c r="BJ913" i="1"/>
  <c r="BI913" i="1"/>
  <c r="BH913" i="1"/>
  <c r="BE913" i="1"/>
  <c r="BM913" i="1" s="1"/>
  <c r="AV913" i="1"/>
  <c r="AJ913" i="1"/>
  <c r="AI913" i="1"/>
  <c r="AG913" i="1"/>
  <c r="AA913" i="1"/>
  <c r="AB913" i="1" s="1"/>
  <c r="V913" i="1"/>
  <c r="X913" i="1" s="1"/>
  <c r="BJ912" i="1"/>
  <c r="BI912" i="1"/>
  <c r="BH912" i="1"/>
  <c r="BE912" i="1"/>
  <c r="AJ912" i="1"/>
  <c r="AI912" i="1"/>
  <c r="AG912" i="1"/>
  <c r="AX912" i="1" s="1"/>
  <c r="AA912" i="1"/>
  <c r="V912" i="1"/>
  <c r="X912" i="1" s="1"/>
  <c r="BJ911" i="1"/>
  <c r="BI911" i="1"/>
  <c r="BH911" i="1"/>
  <c r="BE911" i="1"/>
  <c r="AV911" i="1"/>
  <c r="AJ911" i="1"/>
  <c r="AI911" i="1"/>
  <c r="AG911" i="1"/>
  <c r="AA911" i="1"/>
  <c r="V911" i="1"/>
  <c r="X911" i="1" s="1"/>
  <c r="BJ910" i="1"/>
  <c r="BI910" i="1"/>
  <c r="BH910" i="1"/>
  <c r="BE910" i="1"/>
  <c r="AJ910" i="1"/>
  <c r="AI910" i="1"/>
  <c r="AG910" i="1"/>
  <c r="AY910" i="1" s="1"/>
  <c r="AA910" i="1"/>
  <c r="V910" i="1"/>
  <c r="X910" i="1" s="1"/>
  <c r="BJ909" i="1"/>
  <c r="BI909" i="1"/>
  <c r="BH909" i="1"/>
  <c r="BE909" i="1"/>
  <c r="BM909" i="1" s="1"/>
  <c r="AV909" i="1"/>
  <c r="AJ909" i="1"/>
  <c r="AO909" i="1" s="1"/>
  <c r="AI909" i="1"/>
  <c r="AG909" i="1"/>
  <c r="AA909" i="1"/>
  <c r="AC909" i="1" s="1"/>
  <c r="V909" i="1"/>
  <c r="X909" i="1" s="1"/>
  <c r="BJ908" i="1"/>
  <c r="BI908" i="1"/>
  <c r="BH908" i="1"/>
  <c r="BE908" i="1"/>
  <c r="AJ908" i="1"/>
  <c r="AI908" i="1"/>
  <c r="AG908" i="1"/>
  <c r="AY908" i="1" s="1"/>
  <c r="AA908" i="1"/>
  <c r="V908" i="1"/>
  <c r="X908" i="1" s="1"/>
  <c r="BJ907" i="1"/>
  <c r="BI907" i="1"/>
  <c r="BH907" i="1"/>
  <c r="BE907" i="1"/>
  <c r="BM907" i="1" s="1"/>
  <c r="AJ907" i="1"/>
  <c r="AI907" i="1"/>
  <c r="AG907" i="1"/>
  <c r="AA907" i="1"/>
  <c r="AC907" i="1" s="1"/>
  <c r="V907" i="1"/>
  <c r="X907" i="1" s="1"/>
  <c r="BJ906" i="1"/>
  <c r="BI906" i="1"/>
  <c r="BH906" i="1"/>
  <c r="BE906" i="1"/>
  <c r="BM906" i="1" s="1"/>
  <c r="AV906" i="1"/>
  <c r="AJ906" i="1"/>
  <c r="AI906" i="1"/>
  <c r="AG906" i="1"/>
  <c r="AA906" i="1"/>
  <c r="V906" i="1"/>
  <c r="X906" i="1" s="1"/>
  <c r="BJ905" i="1"/>
  <c r="BI905" i="1"/>
  <c r="BH905" i="1"/>
  <c r="BE905" i="1"/>
  <c r="BM905" i="1" s="1"/>
  <c r="AV905" i="1"/>
  <c r="AJ905" i="1"/>
  <c r="AI905" i="1"/>
  <c r="AG905" i="1"/>
  <c r="AY905" i="1" s="1"/>
  <c r="AA905" i="1"/>
  <c r="AC905" i="1" s="1"/>
  <c r="V905" i="1"/>
  <c r="X905" i="1" s="1"/>
  <c r="BJ904" i="1"/>
  <c r="BI904" i="1"/>
  <c r="BH904" i="1"/>
  <c r="BE904" i="1"/>
  <c r="BM904" i="1" s="1"/>
  <c r="AV904" i="1"/>
  <c r="AJ904" i="1"/>
  <c r="AI904" i="1"/>
  <c r="AG904" i="1"/>
  <c r="AA904" i="1"/>
  <c r="AC904" i="1" s="1"/>
  <c r="V904" i="1"/>
  <c r="X904" i="1" s="1"/>
  <c r="BJ903" i="1"/>
  <c r="BI903" i="1"/>
  <c r="BH903" i="1"/>
  <c r="BE903" i="1"/>
  <c r="AJ903" i="1"/>
  <c r="AI903" i="1"/>
  <c r="AG903" i="1"/>
  <c r="AA903" i="1"/>
  <c r="AC903" i="1" s="1"/>
  <c r="V903" i="1"/>
  <c r="X903" i="1" s="1"/>
  <c r="BJ902" i="1"/>
  <c r="BI902" i="1"/>
  <c r="BH902" i="1"/>
  <c r="BE902" i="1"/>
  <c r="AJ902" i="1"/>
  <c r="AI902" i="1"/>
  <c r="AG902" i="1"/>
  <c r="AX902" i="1" s="1"/>
  <c r="AA902" i="1"/>
  <c r="AC902" i="1" s="1"/>
  <c r="V902" i="1"/>
  <c r="X902" i="1" s="1"/>
  <c r="BJ901" i="1"/>
  <c r="BI901" i="1"/>
  <c r="BH901" i="1"/>
  <c r="BE901" i="1"/>
  <c r="BM901" i="1" s="1"/>
  <c r="AJ901" i="1"/>
  <c r="AI901" i="1"/>
  <c r="AG901" i="1"/>
  <c r="AY901" i="1" s="1"/>
  <c r="AA901" i="1"/>
  <c r="V901" i="1"/>
  <c r="X901" i="1" s="1"/>
  <c r="BJ900" i="1"/>
  <c r="BI900" i="1"/>
  <c r="BH900" i="1"/>
  <c r="BE900" i="1"/>
  <c r="BM900" i="1" s="1"/>
  <c r="AV900" i="1"/>
  <c r="AJ900" i="1"/>
  <c r="AI900" i="1"/>
  <c r="AG900" i="1"/>
  <c r="AA900" i="1"/>
  <c r="V900" i="1"/>
  <c r="X900" i="1" s="1"/>
  <c r="BJ899" i="1"/>
  <c r="BI899" i="1"/>
  <c r="BH899" i="1"/>
  <c r="BE899" i="1"/>
  <c r="AJ899" i="1"/>
  <c r="AI899" i="1"/>
  <c r="AG899" i="1"/>
  <c r="AA899" i="1"/>
  <c r="AC899" i="1" s="1"/>
  <c r="V899" i="1"/>
  <c r="X899" i="1" s="1"/>
  <c r="BJ898" i="1"/>
  <c r="BI898" i="1"/>
  <c r="BH898" i="1"/>
  <c r="BE898" i="1"/>
  <c r="AV898" i="1"/>
  <c r="AJ898" i="1"/>
  <c r="AO898" i="1" s="1"/>
  <c r="AI898" i="1"/>
  <c r="AG898" i="1"/>
  <c r="AY898" i="1" s="1"/>
  <c r="AA898" i="1"/>
  <c r="AC898" i="1" s="1"/>
  <c r="V898" i="1"/>
  <c r="X898" i="1" s="1"/>
  <c r="BJ897" i="1"/>
  <c r="BI897" i="1"/>
  <c r="BH897" i="1"/>
  <c r="BE897" i="1"/>
  <c r="BM897" i="1" s="1"/>
  <c r="AJ897" i="1"/>
  <c r="AI897" i="1"/>
  <c r="AG897" i="1"/>
  <c r="AY897" i="1" s="1"/>
  <c r="AA897" i="1"/>
  <c r="AC897" i="1" s="1"/>
  <c r="V897" i="1"/>
  <c r="X897" i="1" s="1"/>
  <c r="BJ896" i="1"/>
  <c r="BI896" i="1"/>
  <c r="BH896" i="1"/>
  <c r="BE896" i="1"/>
  <c r="BM896" i="1" s="1"/>
  <c r="AV896" i="1"/>
  <c r="AJ896" i="1"/>
  <c r="AI896" i="1"/>
  <c r="AG896" i="1"/>
  <c r="AA896" i="1"/>
  <c r="AC896" i="1" s="1"/>
  <c r="V896" i="1"/>
  <c r="X896" i="1" s="1"/>
  <c r="BJ895" i="1"/>
  <c r="BI895" i="1"/>
  <c r="BH895" i="1"/>
  <c r="BE895" i="1"/>
  <c r="AV895" i="1"/>
  <c r="AJ895" i="1"/>
  <c r="AO895" i="1" s="1"/>
  <c r="AI895" i="1"/>
  <c r="AG895" i="1"/>
  <c r="AY895" i="1" s="1"/>
  <c r="AA895" i="1"/>
  <c r="AC895" i="1" s="1"/>
  <c r="V895" i="1"/>
  <c r="X895" i="1" s="1"/>
  <c r="BJ894" i="1"/>
  <c r="BI894" i="1"/>
  <c r="BH894" i="1"/>
  <c r="BE894" i="1"/>
  <c r="BM894" i="1" s="1"/>
  <c r="AV894" i="1"/>
  <c r="AJ894" i="1"/>
  <c r="AI894" i="1"/>
  <c r="AG894" i="1"/>
  <c r="AY894" i="1" s="1"/>
  <c r="AA894" i="1"/>
  <c r="V894" i="1"/>
  <c r="X894" i="1" s="1"/>
  <c r="BJ893" i="1"/>
  <c r="BI893" i="1"/>
  <c r="BH893" i="1"/>
  <c r="BE893" i="1"/>
  <c r="AJ893" i="1"/>
  <c r="AI893" i="1"/>
  <c r="AG893" i="1"/>
  <c r="AA893" i="1"/>
  <c r="AC893" i="1" s="1"/>
  <c r="V893" i="1"/>
  <c r="X893" i="1" s="1"/>
  <c r="BJ892" i="1"/>
  <c r="BI892" i="1"/>
  <c r="BH892" i="1"/>
  <c r="BE892" i="1"/>
  <c r="AV892" i="1"/>
  <c r="AJ892" i="1"/>
  <c r="AI892" i="1"/>
  <c r="AG892" i="1"/>
  <c r="AA892" i="1"/>
  <c r="V892" i="1"/>
  <c r="X892" i="1" s="1"/>
  <c r="AJ891" i="1"/>
  <c r="AO891" i="1" s="1"/>
  <c r="AI891" i="1"/>
  <c r="AG891" i="1"/>
  <c r="AA891" i="1"/>
  <c r="AC891" i="1" s="1"/>
  <c r="BJ890" i="1"/>
  <c r="BI890" i="1"/>
  <c r="BH890" i="1"/>
  <c r="BE890" i="1"/>
  <c r="AJ890" i="1"/>
  <c r="AF890" i="1"/>
  <c r="AE890" i="1"/>
  <c r="AD890" i="1"/>
  <c r="AA890" i="1"/>
  <c r="V890" i="1"/>
  <c r="X890" i="1" s="1"/>
  <c r="BJ889" i="1"/>
  <c r="BI889" i="1"/>
  <c r="BH889" i="1"/>
  <c r="BE889" i="1"/>
  <c r="AJ889" i="1"/>
  <c r="AI889" i="1"/>
  <c r="AG889" i="1"/>
  <c r="AA889" i="1"/>
  <c r="AB889" i="1" s="1"/>
  <c r="V889" i="1"/>
  <c r="X889" i="1" s="1"/>
  <c r="BJ888" i="1"/>
  <c r="BI888" i="1"/>
  <c r="BH888" i="1"/>
  <c r="BE888" i="1"/>
  <c r="AJ888" i="1"/>
  <c r="AI888" i="1"/>
  <c r="AG888" i="1"/>
  <c r="AX888" i="1" s="1"/>
  <c r="AA888" i="1"/>
  <c r="AC888" i="1" s="1"/>
  <c r="V888" i="1"/>
  <c r="X888" i="1" s="1"/>
  <c r="BJ887" i="1"/>
  <c r="BI887" i="1"/>
  <c r="BH887" i="1"/>
  <c r="BE887" i="1"/>
  <c r="BM887" i="1" s="1"/>
  <c r="AV887" i="1"/>
  <c r="AJ887" i="1"/>
  <c r="AI887" i="1"/>
  <c r="AG887" i="1"/>
  <c r="AY887" i="1" s="1"/>
  <c r="AA887" i="1"/>
  <c r="AC887" i="1" s="1"/>
  <c r="V887" i="1"/>
  <c r="X887" i="1" s="1"/>
  <c r="BJ886" i="1"/>
  <c r="BI886" i="1"/>
  <c r="BH886" i="1"/>
  <c r="BE886" i="1"/>
  <c r="AJ886" i="1"/>
  <c r="AI886" i="1"/>
  <c r="AG886" i="1"/>
  <c r="AA886" i="1"/>
  <c r="V886" i="1"/>
  <c r="X886" i="1" s="1"/>
  <c r="BJ885" i="1"/>
  <c r="BI885" i="1"/>
  <c r="BH885" i="1"/>
  <c r="BE885" i="1"/>
  <c r="BM885" i="1" s="1"/>
  <c r="AJ885" i="1"/>
  <c r="AO885" i="1" s="1"/>
  <c r="AI885" i="1"/>
  <c r="AG885" i="1"/>
  <c r="AY885" i="1" s="1"/>
  <c r="AA885" i="1"/>
  <c r="V885" i="1"/>
  <c r="X885" i="1" s="1"/>
  <c r="BJ884" i="1"/>
  <c r="BI884" i="1"/>
  <c r="BH884" i="1"/>
  <c r="BE884" i="1"/>
  <c r="AJ884" i="1"/>
  <c r="AI884" i="1"/>
  <c r="AG884" i="1"/>
  <c r="AA884" i="1"/>
  <c r="AC884" i="1" s="1"/>
  <c r="V884" i="1"/>
  <c r="X884" i="1" s="1"/>
  <c r="BJ883" i="1"/>
  <c r="BI883" i="1"/>
  <c r="BH883" i="1"/>
  <c r="BE883" i="1"/>
  <c r="AJ883" i="1"/>
  <c r="AI883" i="1"/>
  <c r="AG883" i="1"/>
  <c r="AY883" i="1" s="1"/>
  <c r="AA883" i="1"/>
  <c r="AC883" i="1" s="1"/>
  <c r="V883" i="1"/>
  <c r="X883" i="1" s="1"/>
  <c r="BJ882" i="1"/>
  <c r="BI882" i="1"/>
  <c r="BH882" i="1"/>
  <c r="BE882" i="1"/>
  <c r="AV882" i="1"/>
  <c r="AJ882" i="1"/>
  <c r="AI882" i="1"/>
  <c r="AG882" i="1"/>
  <c r="AX882" i="1" s="1"/>
  <c r="AA882" i="1"/>
  <c r="AB882" i="1" s="1"/>
  <c r="V882" i="1"/>
  <c r="X882" i="1" s="1"/>
  <c r="BJ881" i="1"/>
  <c r="BI881" i="1"/>
  <c r="BH881" i="1"/>
  <c r="BE881" i="1"/>
  <c r="BM881" i="1" s="1"/>
  <c r="AV881" i="1"/>
  <c r="AJ881" i="1"/>
  <c r="AI881" i="1"/>
  <c r="AG881" i="1"/>
  <c r="AA881" i="1"/>
  <c r="V881" i="1"/>
  <c r="X881" i="1" s="1"/>
  <c r="BJ880" i="1"/>
  <c r="BI880" i="1"/>
  <c r="BH880" i="1"/>
  <c r="BE880" i="1"/>
  <c r="AJ880" i="1"/>
  <c r="AO880" i="1" s="1"/>
  <c r="AI880" i="1"/>
  <c r="AG880" i="1"/>
  <c r="AY880" i="1" s="1"/>
  <c r="AA880" i="1"/>
  <c r="AC880" i="1" s="1"/>
  <c r="V880" i="1"/>
  <c r="X880" i="1" s="1"/>
  <c r="BJ879" i="1"/>
  <c r="BI879" i="1"/>
  <c r="BH879" i="1"/>
  <c r="BE879" i="1"/>
  <c r="BM879" i="1" s="1"/>
  <c r="AJ879" i="1"/>
  <c r="AI879" i="1"/>
  <c r="AG879" i="1"/>
  <c r="AA879" i="1"/>
  <c r="AC879" i="1" s="1"/>
  <c r="V879" i="1"/>
  <c r="X879" i="1" s="1"/>
  <c r="BJ878" i="1"/>
  <c r="BI878" i="1"/>
  <c r="BH878" i="1"/>
  <c r="BE878" i="1"/>
  <c r="AV878" i="1"/>
  <c r="AJ878" i="1"/>
  <c r="AI878" i="1"/>
  <c r="AG878" i="1"/>
  <c r="AX878" i="1" s="1"/>
  <c r="AA878" i="1"/>
  <c r="AC878" i="1" s="1"/>
  <c r="V878" i="1"/>
  <c r="X878" i="1" s="1"/>
  <c r="BJ877" i="1"/>
  <c r="BI877" i="1"/>
  <c r="BH877" i="1"/>
  <c r="BE877" i="1"/>
  <c r="BM877" i="1" s="1"/>
  <c r="AV877" i="1"/>
  <c r="AJ877" i="1"/>
  <c r="AI877" i="1"/>
  <c r="AG877" i="1"/>
  <c r="AY877" i="1" s="1"/>
  <c r="AA877" i="1"/>
  <c r="AC877" i="1" s="1"/>
  <c r="V877" i="1"/>
  <c r="X877" i="1" s="1"/>
  <c r="BJ876" i="1"/>
  <c r="BI876" i="1"/>
  <c r="BH876" i="1"/>
  <c r="BE876" i="1"/>
  <c r="AJ876" i="1"/>
  <c r="AI876" i="1"/>
  <c r="AG876" i="1"/>
  <c r="AY876" i="1" s="1"/>
  <c r="AA876" i="1"/>
  <c r="AB876" i="1" s="1"/>
  <c r="V876" i="1"/>
  <c r="X876" i="1" s="1"/>
  <c r="AJ875" i="1"/>
  <c r="AI875" i="1"/>
  <c r="AG875" i="1"/>
  <c r="AA875" i="1"/>
  <c r="BJ874" i="1"/>
  <c r="BI874" i="1"/>
  <c r="BH874" i="1"/>
  <c r="BE874" i="1"/>
  <c r="BM874" i="1" s="1"/>
  <c r="AJ874" i="1"/>
  <c r="AF874" i="1"/>
  <c r="AI874" i="1" s="1"/>
  <c r="AE874" i="1"/>
  <c r="AD874" i="1"/>
  <c r="AA874" i="1"/>
  <c r="V874" i="1"/>
  <c r="X874" i="1" s="1"/>
  <c r="BJ873" i="1"/>
  <c r="BI873" i="1"/>
  <c r="BH873" i="1"/>
  <c r="BE873" i="1"/>
  <c r="BM873" i="1" s="1"/>
  <c r="AV873" i="1"/>
  <c r="AJ873" i="1"/>
  <c r="AI873" i="1"/>
  <c r="AG873" i="1"/>
  <c r="AA873" i="1"/>
  <c r="AB873" i="1" s="1"/>
  <c r="V873" i="1"/>
  <c r="X873" i="1" s="1"/>
  <c r="BJ872" i="1"/>
  <c r="BI872" i="1"/>
  <c r="BH872" i="1"/>
  <c r="BE872" i="1"/>
  <c r="BM872" i="1" s="1"/>
  <c r="AV872" i="1"/>
  <c r="AJ872" i="1"/>
  <c r="AO872" i="1" s="1"/>
  <c r="AI872" i="1"/>
  <c r="AG872" i="1"/>
  <c r="AA872" i="1"/>
  <c r="AC872" i="1" s="1"/>
  <c r="V872" i="1"/>
  <c r="X872" i="1" s="1"/>
  <c r="BJ871" i="1"/>
  <c r="BI871" i="1"/>
  <c r="BH871" i="1"/>
  <c r="BE871" i="1"/>
  <c r="AV871" i="1"/>
  <c r="AJ871" i="1"/>
  <c r="AI871" i="1"/>
  <c r="AG871" i="1"/>
  <c r="AA871" i="1"/>
  <c r="V871" i="1"/>
  <c r="X871" i="1" s="1"/>
  <c r="BJ870" i="1"/>
  <c r="BI870" i="1"/>
  <c r="BH870" i="1"/>
  <c r="BE870" i="1"/>
  <c r="AV870" i="1"/>
  <c r="AJ870" i="1"/>
  <c r="AI870" i="1"/>
  <c r="AG870" i="1"/>
  <c r="AY870" i="1" s="1"/>
  <c r="AA870" i="1"/>
  <c r="AC870" i="1" s="1"/>
  <c r="V870" i="1"/>
  <c r="X870" i="1" s="1"/>
  <c r="BJ869" i="1"/>
  <c r="BI869" i="1"/>
  <c r="BH869" i="1"/>
  <c r="BE869" i="1"/>
  <c r="BM869" i="1" s="1"/>
  <c r="AV869" i="1"/>
  <c r="AJ869" i="1"/>
  <c r="AI869" i="1"/>
  <c r="AG869" i="1"/>
  <c r="AA869" i="1"/>
  <c r="AC869" i="1" s="1"/>
  <c r="V869" i="1"/>
  <c r="X869" i="1" s="1"/>
  <c r="BJ868" i="1"/>
  <c r="BI868" i="1"/>
  <c r="BH868" i="1"/>
  <c r="BE868" i="1"/>
  <c r="AJ868" i="1"/>
  <c r="AI868" i="1"/>
  <c r="AG868" i="1"/>
  <c r="AX868" i="1" s="1"/>
  <c r="AA868" i="1"/>
  <c r="AB868" i="1" s="1"/>
  <c r="V868" i="1"/>
  <c r="X868" i="1" s="1"/>
  <c r="BJ867" i="1"/>
  <c r="BI867" i="1"/>
  <c r="BH867" i="1"/>
  <c r="BE867" i="1"/>
  <c r="BM867" i="1" s="1"/>
  <c r="AV867" i="1"/>
  <c r="AJ867" i="1"/>
  <c r="AI867" i="1"/>
  <c r="AG867" i="1"/>
  <c r="AX867" i="1" s="1"/>
  <c r="AA867" i="1"/>
  <c r="AB867" i="1" s="1"/>
  <c r="V867" i="1"/>
  <c r="X867" i="1" s="1"/>
  <c r="BJ866" i="1"/>
  <c r="BI866" i="1"/>
  <c r="BH866" i="1"/>
  <c r="BE866" i="1"/>
  <c r="BM866" i="1" s="1"/>
  <c r="AJ866" i="1"/>
  <c r="AI866" i="1"/>
  <c r="AG866" i="1"/>
  <c r="AA866" i="1"/>
  <c r="V866" i="1"/>
  <c r="X866" i="1" s="1"/>
  <c r="BJ865" i="1"/>
  <c r="BI865" i="1"/>
  <c r="BH865" i="1"/>
  <c r="BE865" i="1"/>
  <c r="AV865" i="1"/>
  <c r="AJ865" i="1"/>
  <c r="AI865" i="1"/>
  <c r="AG865" i="1"/>
  <c r="AY865" i="1" s="1"/>
  <c r="AA865" i="1"/>
  <c r="AC865" i="1" s="1"/>
  <c r="V865" i="1"/>
  <c r="X865" i="1" s="1"/>
  <c r="BJ864" i="1"/>
  <c r="BI864" i="1"/>
  <c r="BH864" i="1"/>
  <c r="BE864" i="1"/>
  <c r="BM864" i="1" s="1"/>
  <c r="AJ864" i="1"/>
  <c r="AI864" i="1"/>
  <c r="AG864" i="1"/>
  <c r="AA864" i="1"/>
  <c r="AC864" i="1" s="1"/>
  <c r="V864" i="1"/>
  <c r="X864" i="1" s="1"/>
  <c r="BJ863" i="1"/>
  <c r="BI863" i="1"/>
  <c r="BH863" i="1"/>
  <c r="BE863" i="1"/>
  <c r="BM863" i="1" s="1"/>
  <c r="AJ863" i="1"/>
  <c r="AI863" i="1"/>
  <c r="AG863" i="1"/>
  <c r="AX863" i="1" s="1"/>
  <c r="AA863" i="1"/>
  <c r="V863" i="1"/>
  <c r="X863" i="1" s="1"/>
  <c r="BJ862" i="1"/>
  <c r="BI862" i="1"/>
  <c r="BH862" i="1"/>
  <c r="BE862" i="1"/>
  <c r="AJ862" i="1"/>
  <c r="AI862" i="1"/>
  <c r="AG862" i="1"/>
  <c r="AY862" i="1" s="1"/>
  <c r="AA862" i="1"/>
  <c r="AB862" i="1" s="1"/>
  <c r="V862" i="1"/>
  <c r="X862" i="1" s="1"/>
  <c r="BJ861" i="1"/>
  <c r="BI861" i="1"/>
  <c r="BH861" i="1"/>
  <c r="BE861" i="1"/>
  <c r="BM861" i="1" s="1"/>
  <c r="AJ861" i="1"/>
  <c r="AI861" i="1"/>
  <c r="AG861" i="1"/>
  <c r="AY861" i="1" s="1"/>
  <c r="AA861" i="1"/>
  <c r="AC861" i="1" s="1"/>
  <c r="V861" i="1"/>
  <c r="X861" i="1" s="1"/>
  <c r="BJ860" i="1"/>
  <c r="BI860" i="1"/>
  <c r="BH860" i="1"/>
  <c r="BE860" i="1"/>
  <c r="BM860" i="1" s="1"/>
  <c r="AJ860" i="1"/>
  <c r="AI860" i="1"/>
  <c r="AG860" i="1"/>
  <c r="AA860" i="1"/>
  <c r="V860" i="1"/>
  <c r="X860" i="1" s="1"/>
  <c r="BJ859" i="1"/>
  <c r="BI859" i="1"/>
  <c r="BH859" i="1"/>
  <c r="BE859" i="1"/>
  <c r="AJ859" i="1"/>
  <c r="AO859" i="1" s="1"/>
  <c r="AI859" i="1"/>
  <c r="AG859" i="1"/>
  <c r="AA859" i="1"/>
  <c r="V859" i="1"/>
  <c r="X859" i="1" s="1"/>
  <c r="AJ858" i="1"/>
  <c r="AI858" i="1"/>
  <c r="AG858" i="1"/>
  <c r="AA858" i="1"/>
  <c r="AB858" i="1" s="1"/>
  <c r="BJ857" i="1"/>
  <c r="BI857" i="1"/>
  <c r="BH857" i="1"/>
  <c r="BE857" i="1"/>
  <c r="BM857" i="1" s="1"/>
  <c r="AV857" i="1"/>
  <c r="AJ857" i="1"/>
  <c r="AF857" i="1"/>
  <c r="AE857" i="1"/>
  <c r="AD857" i="1"/>
  <c r="AA857" i="1"/>
  <c r="V857" i="1"/>
  <c r="X857" i="1" s="1"/>
  <c r="BJ856" i="1"/>
  <c r="BI856" i="1"/>
  <c r="BH856" i="1"/>
  <c r="BE856" i="1"/>
  <c r="AJ856" i="1"/>
  <c r="AI856" i="1"/>
  <c r="AG856" i="1"/>
  <c r="AY856" i="1" s="1"/>
  <c r="AA856" i="1"/>
  <c r="AB856" i="1" s="1"/>
  <c r="V856" i="1"/>
  <c r="X856" i="1" s="1"/>
  <c r="BJ855" i="1"/>
  <c r="BI855" i="1"/>
  <c r="BH855" i="1"/>
  <c r="BE855" i="1"/>
  <c r="BM855" i="1" s="1"/>
  <c r="AV855" i="1"/>
  <c r="AJ855" i="1"/>
  <c r="AI855" i="1"/>
  <c r="AG855" i="1"/>
  <c r="AA855" i="1"/>
  <c r="AB855" i="1" s="1"/>
  <c r="V855" i="1"/>
  <c r="X855" i="1" s="1"/>
  <c r="BJ854" i="1"/>
  <c r="BI854" i="1"/>
  <c r="BH854" i="1"/>
  <c r="BE854" i="1"/>
  <c r="AX854" i="1"/>
  <c r="AJ854" i="1"/>
  <c r="AI854" i="1"/>
  <c r="AG854" i="1"/>
  <c r="AY854" i="1" s="1"/>
  <c r="AA854" i="1"/>
  <c r="AB854" i="1" s="1"/>
  <c r="V854" i="1"/>
  <c r="X854" i="1" s="1"/>
  <c r="BJ853" i="1"/>
  <c r="BI853" i="1"/>
  <c r="BH853" i="1"/>
  <c r="BE853" i="1"/>
  <c r="AJ853" i="1"/>
  <c r="AI853" i="1"/>
  <c r="AG853" i="1"/>
  <c r="AA853" i="1"/>
  <c r="AC853" i="1" s="1"/>
  <c r="V853" i="1"/>
  <c r="X853" i="1" s="1"/>
  <c r="BJ852" i="1"/>
  <c r="BI852" i="1"/>
  <c r="BH852" i="1"/>
  <c r="BE852" i="1"/>
  <c r="BM852" i="1" s="1"/>
  <c r="AV852" i="1"/>
  <c r="AJ852" i="1"/>
  <c r="AI852" i="1"/>
  <c r="AG852" i="1"/>
  <c r="AA852" i="1"/>
  <c r="AC852" i="1" s="1"/>
  <c r="V852" i="1"/>
  <c r="X852" i="1" s="1"/>
  <c r="BJ851" i="1"/>
  <c r="BI851" i="1"/>
  <c r="BH851" i="1"/>
  <c r="BE851" i="1"/>
  <c r="BM851" i="1" s="1"/>
  <c r="AV851" i="1"/>
  <c r="AJ851" i="1"/>
  <c r="AI851" i="1"/>
  <c r="AG851" i="1"/>
  <c r="AA851" i="1"/>
  <c r="V851" i="1"/>
  <c r="X851" i="1" s="1"/>
  <c r="BJ850" i="1"/>
  <c r="BI850" i="1"/>
  <c r="BH850" i="1"/>
  <c r="BE850" i="1"/>
  <c r="AJ850" i="1"/>
  <c r="AI850" i="1"/>
  <c r="AG850" i="1"/>
  <c r="AA850" i="1"/>
  <c r="AC850" i="1" s="1"/>
  <c r="V850" i="1"/>
  <c r="X850" i="1" s="1"/>
  <c r="BJ849" i="1"/>
  <c r="BI849" i="1"/>
  <c r="BH849" i="1"/>
  <c r="BE849" i="1"/>
  <c r="AV849" i="1"/>
  <c r="AJ849" i="1"/>
  <c r="AI849" i="1"/>
  <c r="AG849" i="1"/>
  <c r="AA849" i="1"/>
  <c r="V849" i="1"/>
  <c r="X849" i="1" s="1"/>
  <c r="BJ848" i="1"/>
  <c r="BI848" i="1"/>
  <c r="BH848" i="1"/>
  <c r="BE848" i="1"/>
  <c r="AV848" i="1"/>
  <c r="AJ848" i="1"/>
  <c r="AI848" i="1"/>
  <c r="AG848" i="1"/>
  <c r="AY848" i="1" s="1"/>
  <c r="AA848" i="1"/>
  <c r="AC848" i="1" s="1"/>
  <c r="V848" i="1"/>
  <c r="X848" i="1" s="1"/>
  <c r="BJ847" i="1"/>
  <c r="BI847" i="1"/>
  <c r="BH847" i="1"/>
  <c r="BE847" i="1"/>
  <c r="BM847" i="1" s="1"/>
  <c r="AJ847" i="1"/>
  <c r="AI847" i="1"/>
  <c r="AG847" i="1"/>
  <c r="AA847" i="1"/>
  <c r="AC847" i="1" s="1"/>
  <c r="V847" i="1"/>
  <c r="X847" i="1" s="1"/>
  <c r="BJ846" i="1"/>
  <c r="BI846" i="1"/>
  <c r="BH846" i="1"/>
  <c r="BE846" i="1"/>
  <c r="AJ846" i="1"/>
  <c r="AI846" i="1"/>
  <c r="AG846" i="1"/>
  <c r="AY846" i="1" s="1"/>
  <c r="AA846" i="1"/>
  <c r="V846" i="1"/>
  <c r="X846" i="1" s="1"/>
  <c r="BJ845" i="1"/>
  <c r="BI845" i="1"/>
  <c r="BH845" i="1"/>
  <c r="BE845" i="1"/>
  <c r="AJ845" i="1"/>
  <c r="AI845" i="1"/>
  <c r="AG845" i="1"/>
  <c r="AY845" i="1" s="1"/>
  <c r="AA845" i="1"/>
  <c r="AC845" i="1" s="1"/>
  <c r="V845" i="1"/>
  <c r="X845" i="1" s="1"/>
  <c r="BJ844" i="1"/>
  <c r="BI844" i="1"/>
  <c r="BH844" i="1"/>
  <c r="BE844" i="1"/>
  <c r="BM844" i="1" s="1"/>
  <c r="AJ844" i="1"/>
  <c r="AO844" i="1" s="1"/>
  <c r="AI844" i="1"/>
  <c r="AG844" i="1"/>
  <c r="AY844" i="1" s="1"/>
  <c r="AA844" i="1"/>
  <c r="AC844" i="1" s="1"/>
  <c r="V844" i="1"/>
  <c r="X844" i="1" s="1"/>
  <c r="BJ843" i="1"/>
  <c r="BI843" i="1"/>
  <c r="BH843" i="1"/>
  <c r="BE843" i="1"/>
  <c r="BM843" i="1" s="1"/>
  <c r="AJ843" i="1"/>
  <c r="AI843" i="1"/>
  <c r="AG843" i="1"/>
  <c r="AY843" i="1" s="1"/>
  <c r="AA843" i="1"/>
  <c r="AC843" i="1" s="1"/>
  <c r="V843" i="1"/>
  <c r="X843" i="1" s="1"/>
  <c r="BJ842" i="1"/>
  <c r="BI842" i="1"/>
  <c r="BH842" i="1"/>
  <c r="BE842" i="1"/>
  <c r="AV842" i="1"/>
  <c r="AJ842" i="1"/>
  <c r="AI842" i="1"/>
  <c r="AG842" i="1"/>
  <c r="AA842" i="1"/>
  <c r="AC842" i="1" s="1"/>
  <c r="V842" i="1"/>
  <c r="X842" i="1" s="1"/>
  <c r="BJ841" i="1"/>
  <c r="BI841" i="1"/>
  <c r="BH841" i="1"/>
  <c r="BE841" i="1"/>
  <c r="AJ841" i="1"/>
  <c r="AI841" i="1"/>
  <c r="AG841" i="1"/>
  <c r="AA841" i="1"/>
  <c r="AB841" i="1" s="1"/>
  <c r="V841" i="1"/>
  <c r="X841" i="1" s="1"/>
  <c r="BJ840" i="1"/>
  <c r="BI840" i="1"/>
  <c r="BH840" i="1"/>
  <c r="BE840" i="1"/>
  <c r="AJ840" i="1"/>
  <c r="AI840" i="1"/>
  <c r="AG840" i="1"/>
  <c r="AA840" i="1"/>
  <c r="AC840" i="1" s="1"/>
  <c r="V840" i="1"/>
  <c r="X840" i="1" s="1"/>
  <c r="BJ839" i="1"/>
  <c r="BI839" i="1"/>
  <c r="BH839" i="1"/>
  <c r="BE839" i="1"/>
  <c r="BM839" i="1" s="1"/>
  <c r="AV839" i="1"/>
  <c r="AJ839" i="1"/>
  <c r="AI839" i="1"/>
  <c r="AG839" i="1"/>
  <c r="AA839" i="1"/>
  <c r="AC839" i="1" s="1"/>
  <c r="V839" i="1"/>
  <c r="X839" i="1" s="1"/>
  <c r="BJ838" i="1"/>
  <c r="BI838" i="1"/>
  <c r="BH838" i="1"/>
  <c r="BE838" i="1"/>
  <c r="BM838" i="1" s="1"/>
  <c r="AV838" i="1"/>
  <c r="AJ838" i="1"/>
  <c r="AI838" i="1"/>
  <c r="AG838" i="1"/>
  <c r="AY838" i="1" s="1"/>
  <c r="AA838" i="1"/>
  <c r="AB838" i="1" s="1"/>
  <c r="V838" i="1"/>
  <c r="X838" i="1" s="1"/>
  <c r="AJ837" i="1"/>
  <c r="AI837" i="1"/>
  <c r="AG837" i="1"/>
  <c r="AA837" i="1"/>
  <c r="AC837" i="1" s="1"/>
  <c r="BJ836" i="1"/>
  <c r="BI836" i="1"/>
  <c r="BH836" i="1"/>
  <c r="BE836" i="1"/>
  <c r="BM836" i="1" s="1"/>
  <c r="AV836" i="1"/>
  <c r="AJ836" i="1"/>
  <c r="AF836" i="1"/>
  <c r="AE836" i="1"/>
  <c r="AD836" i="1"/>
  <c r="AA836" i="1"/>
  <c r="V836" i="1"/>
  <c r="X836" i="1" s="1"/>
  <c r="BJ835" i="1"/>
  <c r="BI835" i="1"/>
  <c r="BH835" i="1"/>
  <c r="BE835" i="1"/>
  <c r="BM835" i="1" s="1"/>
  <c r="AJ835" i="1"/>
  <c r="AI835" i="1"/>
  <c r="AG835" i="1"/>
  <c r="AA835" i="1"/>
  <c r="V835" i="1"/>
  <c r="X835" i="1" s="1"/>
  <c r="BJ834" i="1"/>
  <c r="BI834" i="1"/>
  <c r="BH834" i="1"/>
  <c r="BE834" i="1"/>
  <c r="AJ834" i="1"/>
  <c r="AI834" i="1"/>
  <c r="AG834" i="1"/>
  <c r="AY834" i="1" s="1"/>
  <c r="AA834" i="1"/>
  <c r="AC834" i="1" s="1"/>
  <c r="V834" i="1"/>
  <c r="X834" i="1" s="1"/>
  <c r="BJ833" i="1"/>
  <c r="BI833" i="1"/>
  <c r="BH833" i="1"/>
  <c r="BE833" i="1"/>
  <c r="BM833" i="1" s="1"/>
  <c r="AJ833" i="1"/>
  <c r="AI833" i="1"/>
  <c r="AG833" i="1"/>
  <c r="AA833" i="1"/>
  <c r="AC833" i="1" s="1"/>
  <c r="V833" i="1"/>
  <c r="X833" i="1" s="1"/>
  <c r="AJ832" i="1"/>
  <c r="AI832" i="1"/>
  <c r="AG832" i="1"/>
  <c r="AA832" i="1"/>
  <c r="BJ831" i="1"/>
  <c r="BI831" i="1"/>
  <c r="BH831" i="1"/>
  <c r="BE831" i="1"/>
  <c r="BM831" i="1" s="1"/>
  <c r="AJ831" i="1"/>
  <c r="AI831" i="1"/>
  <c r="AD831" i="1"/>
  <c r="AA831" i="1"/>
  <c r="V831" i="1"/>
  <c r="X831" i="1" s="1"/>
  <c r="BJ830" i="1"/>
  <c r="BI830" i="1"/>
  <c r="BH830" i="1"/>
  <c r="BE830" i="1"/>
  <c r="BM830" i="1" s="1"/>
  <c r="AJ830" i="1"/>
  <c r="AO830" i="1" s="1"/>
  <c r="AI830" i="1"/>
  <c r="AG830" i="1"/>
  <c r="AA830" i="1"/>
  <c r="V830" i="1"/>
  <c r="X830" i="1" s="1"/>
  <c r="BJ829" i="1"/>
  <c r="BI829" i="1"/>
  <c r="BH829" i="1"/>
  <c r="BE829" i="1"/>
  <c r="AV829" i="1"/>
  <c r="AJ829" i="1"/>
  <c r="AI829" i="1"/>
  <c r="AG829" i="1"/>
  <c r="AA829" i="1"/>
  <c r="V829" i="1"/>
  <c r="X829" i="1" s="1"/>
  <c r="BJ828" i="1"/>
  <c r="BI828" i="1"/>
  <c r="BH828" i="1"/>
  <c r="BE828" i="1"/>
  <c r="AV828" i="1"/>
  <c r="AJ828" i="1"/>
  <c r="AI828" i="1"/>
  <c r="AG828" i="1"/>
  <c r="AA828" i="1"/>
  <c r="V828" i="1"/>
  <c r="X828" i="1" s="1"/>
  <c r="BJ827" i="1"/>
  <c r="BI827" i="1"/>
  <c r="BH827" i="1"/>
  <c r="BE827" i="1"/>
  <c r="BM827" i="1" s="1"/>
  <c r="AV827" i="1"/>
  <c r="AJ827" i="1"/>
  <c r="AI827" i="1"/>
  <c r="AG827" i="1"/>
  <c r="AA827" i="1"/>
  <c r="AC827" i="1" s="1"/>
  <c r="V827" i="1"/>
  <c r="X827" i="1" s="1"/>
  <c r="BJ826" i="1"/>
  <c r="BI826" i="1"/>
  <c r="BH826" i="1"/>
  <c r="BE826" i="1"/>
  <c r="BM826" i="1" s="1"/>
  <c r="AV826" i="1"/>
  <c r="AJ826" i="1"/>
  <c r="AI826" i="1"/>
  <c r="AG826" i="1"/>
  <c r="AY826" i="1" s="1"/>
  <c r="AA826" i="1"/>
  <c r="V826" i="1"/>
  <c r="X826" i="1" s="1"/>
  <c r="BJ825" i="1"/>
  <c r="BI825" i="1"/>
  <c r="BH825" i="1"/>
  <c r="BE825" i="1"/>
  <c r="AJ825" i="1"/>
  <c r="AI825" i="1"/>
  <c r="AG825" i="1"/>
  <c r="AY825" i="1" s="1"/>
  <c r="AA825" i="1"/>
  <c r="AB825" i="1" s="1"/>
  <c r="V825" i="1"/>
  <c r="X825" i="1" s="1"/>
  <c r="BJ824" i="1"/>
  <c r="BI824" i="1"/>
  <c r="BH824" i="1"/>
  <c r="BE824" i="1"/>
  <c r="BM824" i="1" s="1"/>
  <c r="AV824" i="1"/>
  <c r="AJ824" i="1"/>
  <c r="AI824" i="1"/>
  <c r="AG824" i="1"/>
  <c r="AA824" i="1"/>
  <c r="AC824" i="1" s="1"/>
  <c r="V824" i="1"/>
  <c r="X824" i="1" s="1"/>
  <c r="BJ823" i="1"/>
  <c r="BI823" i="1"/>
  <c r="BH823" i="1"/>
  <c r="BE823" i="1"/>
  <c r="AJ823" i="1"/>
  <c r="AI823" i="1"/>
  <c r="AG823" i="1"/>
  <c r="AY823" i="1" s="1"/>
  <c r="AA823" i="1"/>
  <c r="AC823" i="1" s="1"/>
  <c r="V823" i="1"/>
  <c r="X823" i="1" s="1"/>
  <c r="BJ822" i="1"/>
  <c r="BI822" i="1"/>
  <c r="BH822" i="1"/>
  <c r="BE822" i="1"/>
  <c r="AV822" i="1"/>
  <c r="AJ822" i="1"/>
  <c r="AI822" i="1"/>
  <c r="AG822" i="1"/>
  <c r="AX822" i="1" s="1"/>
  <c r="AA822" i="1"/>
  <c r="AC822" i="1" s="1"/>
  <c r="V822" i="1"/>
  <c r="X822" i="1" s="1"/>
  <c r="AV821" i="1"/>
  <c r="AJ821" i="1"/>
  <c r="AI821" i="1"/>
  <c r="AG821" i="1"/>
  <c r="AX821" i="1" s="1"/>
  <c r="AA821" i="1"/>
  <c r="V821" i="1"/>
  <c r="X821" i="1" s="1"/>
  <c r="BJ820" i="1"/>
  <c r="BI820" i="1"/>
  <c r="BH820" i="1"/>
  <c r="BE820" i="1"/>
  <c r="BM820" i="1" s="1"/>
  <c r="AJ820" i="1"/>
  <c r="AI820" i="1"/>
  <c r="AG820" i="1"/>
  <c r="AA820" i="1"/>
  <c r="AC820" i="1" s="1"/>
  <c r="V820" i="1"/>
  <c r="X820" i="1" s="1"/>
  <c r="BJ819" i="1"/>
  <c r="BI819" i="1"/>
  <c r="BH819" i="1"/>
  <c r="BE819" i="1"/>
  <c r="AJ819" i="1"/>
  <c r="AO819" i="1" s="1"/>
  <c r="AI819" i="1"/>
  <c r="AG819" i="1"/>
  <c r="AA819" i="1"/>
  <c r="AC819" i="1" s="1"/>
  <c r="V819" i="1"/>
  <c r="X819" i="1" s="1"/>
  <c r="BJ818" i="1"/>
  <c r="BI818" i="1"/>
  <c r="BH818" i="1"/>
  <c r="BE818" i="1"/>
  <c r="AV818" i="1"/>
  <c r="AJ818" i="1"/>
  <c r="AI818" i="1"/>
  <c r="AG818" i="1"/>
  <c r="AA818" i="1"/>
  <c r="AC818" i="1" s="1"/>
  <c r="V818" i="1"/>
  <c r="X818" i="1" s="1"/>
  <c r="BJ817" i="1"/>
  <c r="BI817" i="1"/>
  <c r="BH817" i="1"/>
  <c r="BE817" i="1"/>
  <c r="BM817" i="1" s="1"/>
  <c r="AV817" i="1"/>
  <c r="AJ817" i="1"/>
  <c r="AI817" i="1"/>
  <c r="AG817" i="1"/>
  <c r="AA817" i="1"/>
  <c r="AB817" i="1" s="1"/>
  <c r="V817" i="1"/>
  <c r="X817" i="1" s="1"/>
  <c r="BJ816" i="1"/>
  <c r="BI816" i="1"/>
  <c r="BH816" i="1"/>
  <c r="BE816" i="1"/>
  <c r="AJ816" i="1"/>
  <c r="AI816" i="1"/>
  <c r="AG816" i="1"/>
  <c r="AA816" i="1"/>
  <c r="AC816" i="1" s="1"/>
  <c r="V816" i="1"/>
  <c r="X816" i="1" s="1"/>
  <c r="BJ815" i="1"/>
  <c r="BI815" i="1"/>
  <c r="BH815" i="1"/>
  <c r="BE815" i="1"/>
  <c r="BM815" i="1" s="1"/>
  <c r="AJ815" i="1"/>
  <c r="AI815" i="1"/>
  <c r="AG815" i="1"/>
  <c r="AY815" i="1" s="1"/>
  <c r="AA815" i="1"/>
  <c r="AC815" i="1" s="1"/>
  <c r="V815" i="1"/>
  <c r="X815" i="1" s="1"/>
  <c r="BJ814" i="1"/>
  <c r="BI814" i="1"/>
  <c r="BH814" i="1"/>
  <c r="BE814" i="1"/>
  <c r="BM814" i="1" s="1"/>
  <c r="AV814" i="1"/>
  <c r="AJ814" i="1"/>
  <c r="AI814" i="1"/>
  <c r="AG814" i="1"/>
  <c r="AY814" i="1" s="1"/>
  <c r="AA814" i="1"/>
  <c r="V814" i="1"/>
  <c r="X814" i="1" s="1"/>
  <c r="BJ813" i="1"/>
  <c r="BI813" i="1"/>
  <c r="BH813" i="1"/>
  <c r="BE813" i="1"/>
  <c r="AV813" i="1"/>
  <c r="AJ813" i="1"/>
  <c r="AI813" i="1"/>
  <c r="AG813" i="1"/>
  <c r="AY813" i="1" s="1"/>
  <c r="AA813" i="1"/>
  <c r="AC813" i="1" s="1"/>
  <c r="V813" i="1"/>
  <c r="X813" i="1" s="1"/>
  <c r="BJ812" i="1"/>
  <c r="BI812" i="1"/>
  <c r="BH812" i="1"/>
  <c r="BE812" i="1"/>
  <c r="BM812" i="1" s="1"/>
  <c r="AV812" i="1"/>
  <c r="AJ812" i="1"/>
  <c r="AI812" i="1"/>
  <c r="AG812" i="1"/>
  <c r="AY812" i="1" s="1"/>
  <c r="AA812" i="1"/>
  <c r="AC812" i="1" s="1"/>
  <c r="V812" i="1"/>
  <c r="X812" i="1" s="1"/>
  <c r="BJ811" i="1"/>
  <c r="BI811" i="1"/>
  <c r="BH811" i="1"/>
  <c r="BE811" i="1"/>
  <c r="AV811" i="1"/>
  <c r="AJ811" i="1"/>
  <c r="AI811" i="1"/>
  <c r="AG811" i="1"/>
  <c r="AA811" i="1"/>
  <c r="V811" i="1"/>
  <c r="X811" i="1" s="1"/>
  <c r="BJ810" i="1"/>
  <c r="BI810" i="1"/>
  <c r="BH810" i="1"/>
  <c r="BE810" i="1"/>
  <c r="AV810" i="1"/>
  <c r="AJ810" i="1"/>
  <c r="AI810" i="1"/>
  <c r="AG810" i="1"/>
  <c r="AY810" i="1" s="1"/>
  <c r="AA810" i="1"/>
  <c r="AC810" i="1" s="1"/>
  <c r="V810" i="1"/>
  <c r="X810" i="1" s="1"/>
  <c r="BJ809" i="1"/>
  <c r="BI809" i="1"/>
  <c r="BH809" i="1"/>
  <c r="BE809" i="1"/>
  <c r="BM809" i="1" s="1"/>
  <c r="AV809" i="1"/>
  <c r="AJ809" i="1"/>
  <c r="AI809" i="1"/>
  <c r="AG809" i="1"/>
  <c r="AY809" i="1" s="1"/>
  <c r="AA809" i="1"/>
  <c r="AC809" i="1" s="1"/>
  <c r="V809" i="1"/>
  <c r="X809" i="1" s="1"/>
  <c r="BJ808" i="1"/>
  <c r="BI808" i="1"/>
  <c r="BH808" i="1"/>
  <c r="BE808" i="1"/>
  <c r="BM808" i="1" s="1"/>
  <c r="AJ808" i="1"/>
  <c r="AI808" i="1"/>
  <c r="AG808" i="1"/>
  <c r="AA808" i="1"/>
  <c r="AB808" i="1" s="1"/>
  <c r="V808" i="1"/>
  <c r="X808" i="1" s="1"/>
  <c r="AJ807" i="1"/>
  <c r="AI807" i="1"/>
  <c r="AG807" i="1"/>
  <c r="AY807" i="1" s="1"/>
  <c r="AA807" i="1"/>
  <c r="AB807" i="1" s="1"/>
  <c r="V807" i="1"/>
  <c r="X807" i="1" s="1"/>
  <c r="BJ806" i="1"/>
  <c r="BI806" i="1"/>
  <c r="BH806" i="1"/>
  <c r="BE806" i="1"/>
  <c r="AJ806" i="1"/>
  <c r="AI806" i="1"/>
  <c r="AG806" i="1"/>
  <c r="AA806" i="1"/>
  <c r="AC806" i="1" s="1"/>
  <c r="V806" i="1"/>
  <c r="X806" i="1" s="1"/>
  <c r="BJ805" i="1"/>
  <c r="BI805" i="1"/>
  <c r="BH805" i="1"/>
  <c r="BE805" i="1"/>
  <c r="AJ805" i="1"/>
  <c r="AO805" i="1" s="1"/>
  <c r="AI805" i="1"/>
  <c r="AG805" i="1"/>
  <c r="AY805" i="1" s="1"/>
  <c r="AA805" i="1"/>
  <c r="AC805" i="1" s="1"/>
  <c r="V805" i="1"/>
  <c r="X805" i="1" s="1"/>
  <c r="BJ804" i="1"/>
  <c r="BI804" i="1"/>
  <c r="BH804" i="1"/>
  <c r="BE804" i="1"/>
  <c r="BM804" i="1" s="1"/>
  <c r="AV804" i="1"/>
  <c r="AJ804" i="1"/>
  <c r="AI804" i="1"/>
  <c r="AG804" i="1"/>
  <c r="AA804" i="1"/>
  <c r="AC804" i="1" s="1"/>
  <c r="V804" i="1"/>
  <c r="X804" i="1" s="1"/>
  <c r="BJ803" i="1"/>
  <c r="BI803" i="1"/>
  <c r="BH803" i="1"/>
  <c r="BE803" i="1"/>
  <c r="BM803" i="1" s="1"/>
  <c r="AV803" i="1"/>
  <c r="AJ803" i="1"/>
  <c r="AI803" i="1"/>
  <c r="AG803" i="1"/>
  <c r="AX803" i="1" s="1"/>
  <c r="AA803" i="1"/>
  <c r="AB803" i="1" s="1"/>
  <c r="V803" i="1"/>
  <c r="X803" i="1" s="1"/>
  <c r="BJ802" i="1"/>
  <c r="BI802" i="1"/>
  <c r="BH802" i="1"/>
  <c r="BE802" i="1"/>
  <c r="BM802" i="1" s="1"/>
  <c r="AJ802" i="1"/>
  <c r="AI802" i="1"/>
  <c r="AG802" i="1"/>
  <c r="AY802" i="1" s="1"/>
  <c r="AA802" i="1"/>
  <c r="AC802" i="1" s="1"/>
  <c r="V802" i="1"/>
  <c r="X802" i="1" s="1"/>
  <c r="BJ801" i="1"/>
  <c r="BI801" i="1"/>
  <c r="BH801" i="1"/>
  <c r="BE801" i="1"/>
  <c r="BM801" i="1" s="1"/>
  <c r="AV801" i="1"/>
  <c r="AJ801" i="1"/>
  <c r="AI801" i="1"/>
  <c r="AG801" i="1"/>
  <c r="AY801" i="1" s="1"/>
  <c r="AA801" i="1"/>
  <c r="AC801" i="1" s="1"/>
  <c r="V801" i="1"/>
  <c r="X801" i="1" s="1"/>
  <c r="BJ800" i="1"/>
  <c r="BI800" i="1"/>
  <c r="BH800" i="1"/>
  <c r="BE800" i="1"/>
  <c r="AV800" i="1"/>
  <c r="AJ800" i="1"/>
  <c r="AI800" i="1"/>
  <c r="AG800" i="1"/>
  <c r="AX800" i="1" s="1"/>
  <c r="AA800" i="1"/>
  <c r="AC800" i="1" s="1"/>
  <c r="V800" i="1"/>
  <c r="X800" i="1" s="1"/>
  <c r="BJ799" i="1"/>
  <c r="BI799" i="1"/>
  <c r="BH799" i="1"/>
  <c r="BE799" i="1"/>
  <c r="BM799" i="1" s="1"/>
  <c r="AJ799" i="1"/>
  <c r="AI799" i="1"/>
  <c r="AG799" i="1"/>
  <c r="AY799" i="1" s="1"/>
  <c r="AA799" i="1"/>
  <c r="V799" i="1"/>
  <c r="X799" i="1" s="1"/>
  <c r="BJ798" i="1"/>
  <c r="BI798" i="1"/>
  <c r="BH798" i="1"/>
  <c r="BE798" i="1"/>
  <c r="AJ798" i="1"/>
  <c r="AI798" i="1"/>
  <c r="AG798" i="1"/>
  <c r="AA798" i="1"/>
  <c r="V798" i="1"/>
  <c r="X798" i="1" s="1"/>
  <c r="BJ797" i="1"/>
  <c r="BI797" i="1"/>
  <c r="BH797" i="1"/>
  <c r="BE797" i="1"/>
  <c r="AV797" i="1"/>
  <c r="AJ797" i="1"/>
  <c r="AI797" i="1"/>
  <c r="AG797" i="1"/>
  <c r="AA797" i="1"/>
  <c r="V797" i="1"/>
  <c r="X797" i="1" s="1"/>
  <c r="BJ796" i="1"/>
  <c r="BI796" i="1"/>
  <c r="BH796" i="1"/>
  <c r="BE796" i="1"/>
  <c r="AJ796" i="1"/>
  <c r="AI796" i="1"/>
  <c r="AG796" i="1"/>
  <c r="AX796" i="1" s="1"/>
  <c r="AA796" i="1"/>
  <c r="V796" i="1"/>
  <c r="X796" i="1" s="1"/>
  <c r="BJ795" i="1"/>
  <c r="BI795" i="1"/>
  <c r="BH795" i="1"/>
  <c r="BE795" i="1"/>
  <c r="BM795" i="1" s="1"/>
  <c r="AJ795" i="1"/>
  <c r="AI795" i="1"/>
  <c r="AG795" i="1"/>
  <c r="AY795" i="1" s="1"/>
  <c r="AA795" i="1"/>
  <c r="AC795" i="1" s="1"/>
  <c r="V795" i="1"/>
  <c r="X795" i="1" s="1"/>
  <c r="BJ794" i="1"/>
  <c r="BI794" i="1"/>
  <c r="BH794" i="1"/>
  <c r="BE794" i="1"/>
  <c r="BM794" i="1" s="1"/>
  <c r="AV794" i="1"/>
  <c r="AJ794" i="1"/>
  <c r="AI794" i="1"/>
  <c r="AG794" i="1"/>
  <c r="AY794" i="1" s="1"/>
  <c r="AA794" i="1"/>
  <c r="AC794" i="1" s="1"/>
  <c r="V794" i="1"/>
  <c r="X794" i="1" s="1"/>
  <c r="BJ793" i="1"/>
  <c r="BI793" i="1"/>
  <c r="BH793" i="1"/>
  <c r="BE793" i="1"/>
  <c r="BM793" i="1" s="1"/>
  <c r="AJ793" i="1"/>
  <c r="AI793" i="1"/>
  <c r="AG793" i="1"/>
  <c r="AA793" i="1"/>
  <c r="AC793" i="1" s="1"/>
  <c r="V793" i="1"/>
  <c r="X793" i="1" s="1"/>
  <c r="AJ792" i="1"/>
  <c r="AI792" i="1"/>
  <c r="AG792" i="1"/>
  <c r="AA792" i="1"/>
  <c r="AB792" i="1" s="1"/>
  <c r="BJ791" i="1"/>
  <c r="BI791" i="1"/>
  <c r="BH791" i="1"/>
  <c r="BE791" i="1"/>
  <c r="AV791" i="1"/>
  <c r="AJ791" i="1"/>
  <c r="AF791" i="1"/>
  <c r="AI791" i="1" s="1"/>
  <c r="AE791" i="1"/>
  <c r="AD791" i="1"/>
  <c r="AA791" i="1"/>
  <c r="V791" i="1"/>
  <c r="X791" i="1" s="1"/>
  <c r="BJ790" i="1"/>
  <c r="BI790" i="1"/>
  <c r="BH790" i="1"/>
  <c r="BE790" i="1"/>
  <c r="BM790" i="1" s="1"/>
  <c r="AV790" i="1"/>
  <c r="AJ790" i="1"/>
  <c r="AI790" i="1"/>
  <c r="AG790" i="1"/>
  <c r="AY790" i="1" s="1"/>
  <c r="AA790" i="1"/>
  <c r="V790" i="1"/>
  <c r="X790" i="1" s="1"/>
  <c r="BJ789" i="1"/>
  <c r="BI789" i="1"/>
  <c r="BH789" i="1"/>
  <c r="BE789" i="1"/>
  <c r="AV789" i="1"/>
  <c r="AJ789" i="1"/>
  <c r="AI789" i="1"/>
  <c r="AG789" i="1"/>
  <c r="AX789" i="1" s="1"/>
  <c r="AA789" i="1"/>
  <c r="V789" i="1"/>
  <c r="X789" i="1" s="1"/>
  <c r="BJ788" i="1"/>
  <c r="BI788" i="1"/>
  <c r="BH788" i="1"/>
  <c r="BE788" i="1"/>
  <c r="AV788" i="1"/>
  <c r="AJ788" i="1"/>
  <c r="AI788" i="1"/>
  <c r="AG788" i="1"/>
  <c r="AA788" i="1"/>
  <c r="AC788" i="1" s="1"/>
  <c r="V788" i="1"/>
  <c r="X788" i="1" s="1"/>
  <c r="BJ787" i="1"/>
  <c r="BI787" i="1"/>
  <c r="BH787" i="1"/>
  <c r="BE787" i="1"/>
  <c r="BM787" i="1" s="1"/>
  <c r="AJ787" i="1"/>
  <c r="AI787" i="1"/>
  <c r="AG787" i="1"/>
  <c r="AY787" i="1" s="1"/>
  <c r="AA787" i="1"/>
  <c r="V787" i="1"/>
  <c r="X787" i="1" s="1"/>
  <c r="BJ786" i="1"/>
  <c r="BI786" i="1"/>
  <c r="BH786" i="1"/>
  <c r="BE786" i="1"/>
  <c r="BM786" i="1" s="1"/>
  <c r="AJ786" i="1"/>
  <c r="AI786" i="1"/>
  <c r="AG786" i="1"/>
  <c r="AA786" i="1"/>
  <c r="AC786" i="1" s="1"/>
  <c r="V786" i="1"/>
  <c r="X786" i="1" s="1"/>
  <c r="BJ785" i="1"/>
  <c r="BI785" i="1"/>
  <c r="BH785" i="1"/>
  <c r="BE785" i="1"/>
  <c r="BM785" i="1" s="1"/>
  <c r="AV785" i="1"/>
  <c r="AJ785" i="1"/>
  <c r="AI785" i="1"/>
  <c r="AG785" i="1"/>
  <c r="AA785" i="1"/>
  <c r="AC785" i="1" s="1"/>
  <c r="V785" i="1"/>
  <c r="X785" i="1" s="1"/>
  <c r="BJ784" i="1"/>
  <c r="BI784" i="1"/>
  <c r="BH784" i="1"/>
  <c r="BE784" i="1"/>
  <c r="BM784" i="1" s="1"/>
  <c r="AV784" i="1"/>
  <c r="AJ784" i="1"/>
  <c r="AI784" i="1"/>
  <c r="AG784" i="1"/>
  <c r="AY784" i="1" s="1"/>
  <c r="AA784" i="1"/>
  <c r="AC784" i="1" s="1"/>
  <c r="V784" i="1"/>
  <c r="X784" i="1" s="1"/>
  <c r="BJ783" i="1"/>
  <c r="BI783" i="1"/>
  <c r="BH783" i="1"/>
  <c r="BE783" i="1"/>
  <c r="BM783" i="1" s="1"/>
  <c r="AV783" i="1"/>
  <c r="AJ783" i="1"/>
  <c r="AI783" i="1"/>
  <c r="AG783" i="1"/>
  <c r="AY783" i="1" s="1"/>
  <c r="AA783" i="1"/>
  <c r="V783" i="1"/>
  <c r="X783" i="1" s="1"/>
  <c r="BJ782" i="1"/>
  <c r="BI782" i="1"/>
  <c r="BH782" i="1"/>
  <c r="BE782" i="1"/>
  <c r="BM782" i="1" s="1"/>
  <c r="AJ782" i="1"/>
  <c r="AI782" i="1"/>
  <c r="AG782" i="1"/>
  <c r="AA782" i="1"/>
  <c r="V782" i="1"/>
  <c r="X782" i="1" s="1"/>
  <c r="BJ781" i="1"/>
  <c r="BI781" i="1"/>
  <c r="BH781" i="1"/>
  <c r="BE781" i="1"/>
  <c r="BM781" i="1" s="1"/>
  <c r="AJ781" i="1"/>
  <c r="AI781" i="1"/>
  <c r="AG781" i="1"/>
  <c r="AA781" i="1"/>
  <c r="V781" i="1"/>
  <c r="X781" i="1" s="1"/>
  <c r="BJ780" i="1"/>
  <c r="BI780" i="1"/>
  <c r="BH780" i="1"/>
  <c r="BE780" i="1"/>
  <c r="AV780" i="1"/>
  <c r="AJ780" i="1"/>
  <c r="AI780" i="1"/>
  <c r="AG780" i="1"/>
  <c r="AA780" i="1"/>
  <c r="V780" i="1"/>
  <c r="X780" i="1" s="1"/>
  <c r="BJ779" i="1"/>
  <c r="BI779" i="1"/>
  <c r="BH779" i="1"/>
  <c r="BE779" i="1"/>
  <c r="BM779" i="1" s="1"/>
  <c r="AJ779" i="1"/>
  <c r="AI779" i="1"/>
  <c r="AG779" i="1"/>
  <c r="AA779" i="1"/>
  <c r="AC779" i="1" s="1"/>
  <c r="V779" i="1"/>
  <c r="X779" i="1" s="1"/>
  <c r="BJ778" i="1"/>
  <c r="BI778" i="1"/>
  <c r="BH778" i="1"/>
  <c r="BE778" i="1"/>
  <c r="BM778" i="1" s="1"/>
  <c r="AV778" i="1"/>
  <c r="AJ778" i="1"/>
  <c r="AI778" i="1"/>
  <c r="AG778" i="1"/>
  <c r="AY778" i="1" s="1"/>
  <c r="AA778" i="1"/>
  <c r="AB778" i="1" s="1"/>
  <c r="V778" i="1"/>
  <c r="X778" i="1" s="1"/>
  <c r="BJ777" i="1"/>
  <c r="BI777" i="1"/>
  <c r="BH777" i="1"/>
  <c r="BE777" i="1"/>
  <c r="BM777" i="1" s="1"/>
  <c r="AJ777" i="1"/>
  <c r="AI777" i="1"/>
  <c r="AG777" i="1"/>
  <c r="AY777" i="1" s="1"/>
  <c r="AA777" i="1"/>
  <c r="V777" i="1"/>
  <c r="X777" i="1" s="1"/>
  <c r="BJ776" i="1"/>
  <c r="BI776" i="1"/>
  <c r="BH776" i="1"/>
  <c r="BE776" i="1"/>
  <c r="BM776" i="1" s="1"/>
  <c r="AJ776" i="1"/>
  <c r="AI776" i="1"/>
  <c r="AG776" i="1"/>
  <c r="AY776" i="1" s="1"/>
  <c r="AA776" i="1"/>
  <c r="AC776" i="1" s="1"/>
  <c r="V776" i="1"/>
  <c r="X776" i="1" s="1"/>
  <c r="BJ775" i="1"/>
  <c r="BI775" i="1"/>
  <c r="BH775" i="1"/>
  <c r="BE775" i="1"/>
  <c r="BM775" i="1" s="1"/>
  <c r="AV775" i="1"/>
  <c r="AL775" i="1"/>
  <c r="AJ775" i="1"/>
  <c r="AI775" i="1"/>
  <c r="AG775" i="1"/>
  <c r="AY775" i="1" s="1"/>
  <c r="AA775" i="1"/>
  <c r="V775" i="1"/>
  <c r="X775" i="1" s="1"/>
  <c r="BJ774" i="1"/>
  <c r="BI774" i="1"/>
  <c r="BH774" i="1"/>
  <c r="BE774" i="1"/>
  <c r="AJ774" i="1"/>
  <c r="AI774" i="1"/>
  <c r="AG774" i="1"/>
  <c r="AY774" i="1" s="1"/>
  <c r="AA774" i="1"/>
  <c r="V774" i="1"/>
  <c r="X774" i="1" s="1"/>
  <c r="BJ773" i="1"/>
  <c r="BI773" i="1"/>
  <c r="BH773" i="1"/>
  <c r="BE773" i="1"/>
  <c r="BM773" i="1" s="1"/>
  <c r="AJ773" i="1"/>
  <c r="AI773" i="1"/>
  <c r="AG773" i="1"/>
  <c r="AY773" i="1" s="1"/>
  <c r="AA773" i="1"/>
  <c r="V773" i="1"/>
  <c r="X773" i="1" s="1"/>
  <c r="BJ772" i="1"/>
  <c r="BI772" i="1"/>
  <c r="BH772" i="1"/>
  <c r="BE772" i="1"/>
  <c r="AJ772" i="1"/>
  <c r="AI772" i="1"/>
  <c r="AG772" i="1"/>
  <c r="AA772" i="1"/>
  <c r="AC772" i="1" s="1"/>
  <c r="V772" i="1"/>
  <c r="X772" i="1" s="1"/>
  <c r="BJ771" i="1"/>
  <c r="BI771" i="1"/>
  <c r="BH771" i="1"/>
  <c r="BE771" i="1"/>
  <c r="AJ771" i="1"/>
  <c r="AI771" i="1"/>
  <c r="AG771" i="1"/>
  <c r="AY771" i="1" s="1"/>
  <c r="AA771" i="1"/>
  <c r="AC771" i="1" s="1"/>
  <c r="V771" i="1"/>
  <c r="X771" i="1" s="1"/>
  <c r="BJ770" i="1"/>
  <c r="BI770" i="1"/>
  <c r="BH770" i="1"/>
  <c r="BE770" i="1"/>
  <c r="BM770" i="1" s="1"/>
  <c r="AV770" i="1"/>
  <c r="AJ770" i="1"/>
  <c r="AI770" i="1"/>
  <c r="AG770" i="1"/>
  <c r="AY770" i="1" s="1"/>
  <c r="AA770" i="1"/>
  <c r="AC770" i="1" s="1"/>
  <c r="V770" i="1"/>
  <c r="X770" i="1" s="1"/>
  <c r="BJ769" i="1"/>
  <c r="BI769" i="1"/>
  <c r="BH769" i="1"/>
  <c r="BE769" i="1"/>
  <c r="BM769" i="1" s="1"/>
  <c r="AJ769" i="1"/>
  <c r="AI769" i="1"/>
  <c r="AG769" i="1"/>
  <c r="AA769" i="1"/>
  <c r="AC769" i="1" s="1"/>
  <c r="V769" i="1"/>
  <c r="X769" i="1" s="1"/>
  <c r="BJ768" i="1"/>
  <c r="BI768" i="1"/>
  <c r="BH768" i="1"/>
  <c r="BE768" i="1"/>
  <c r="BM768" i="1" s="1"/>
  <c r="AV768" i="1"/>
  <c r="AJ768" i="1"/>
  <c r="AI768" i="1"/>
  <c r="AG768" i="1"/>
  <c r="AA768" i="1"/>
  <c r="AC768" i="1" s="1"/>
  <c r="V768" i="1"/>
  <c r="X768" i="1" s="1"/>
  <c r="BJ767" i="1"/>
  <c r="BI767" i="1"/>
  <c r="BH767" i="1"/>
  <c r="BE767" i="1"/>
  <c r="BM767" i="1" s="1"/>
  <c r="AJ767" i="1"/>
  <c r="AI767" i="1"/>
  <c r="AG767" i="1"/>
  <c r="AY767" i="1" s="1"/>
  <c r="AA767" i="1"/>
  <c r="AC767" i="1" s="1"/>
  <c r="V767" i="1"/>
  <c r="X767" i="1" s="1"/>
  <c r="BJ766" i="1"/>
  <c r="BI766" i="1"/>
  <c r="BH766" i="1"/>
  <c r="BE766" i="1"/>
  <c r="AK766" i="1"/>
  <c r="AK1276" i="1" s="1"/>
  <c r="AJ766" i="1"/>
  <c r="AI766" i="1"/>
  <c r="AG766" i="1"/>
  <c r="AA766" i="1"/>
  <c r="AB766" i="1" s="1"/>
  <c r="V766" i="1"/>
  <c r="X766" i="1" s="1"/>
  <c r="BJ765" i="1"/>
  <c r="BI765" i="1"/>
  <c r="BH765" i="1"/>
  <c r="BE765" i="1"/>
  <c r="BM765" i="1" s="1"/>
  <c r="AV765" i="1"/>
  <c r="AJ765" i="1"/>
  <c r="AI765" i="1"/>
  <c r="AG765" i="1"/>
  <c r="AX765" i="1" s="1"/>
  <c r="AA765" i="1"/>
  <c r="AB765" i="1" s="1"/>
  <c r="V765" i="1"/>
  <c r="X765" i="1" s="1"/>
  <c r="BJ764" i="1"/>
  <c r="BI764" i="1"/>
  <c r="BH764" i="1"/>
  <c r="BE764" i="1"/>
  <c r="AV764" i="1"/>
  <c r="AJ764" i="1"/>
  <c r="AI764" i="1"/>
  <c r="AG764" i="1"/>
  <c r="AA764" i="1"/>
  <c r="AB764" i="1" s="1"/>
  <c r="V764" i="1"/>
  <c r="X764" i="1" s="1"/>
  <c r="BJ763" i="1"/>
  <c r="BI763" i="1"/>
  <c r="BH763" i="1"/>
  <c r="BE763" i="1"/>
  <c r="AV763" i="1"/>
  <c r="AJ763" i="1"/>
  <c r="AI763" i="1"/>
  <c r="AG763" i="1"/>
  <c r="AX763" i="1" s="1"/>
  <c r="AA763" i="1"/>
  <c r="AB763" i="1" s="1"/>
  <c r="V763" i="1"/>
  <c r="X763" i="1" s="1"/>
  <c r="BJ762" i="1"/>
  <c r="BI762" i="1"/>
  <c r="BH762" i="1"/>
  <c r="BE762" i="1"/>
  <c r="BM762" i="1" s="1"/>
  <c r="AV762" i="1"/>
  <c r="AJ762" i="1"/>
  <c r="AI762" i="1"/>
  <c r="AG762" i="1"/>
  <c r="AX762" i="1" s="1"/>
  <c r="AA762" i="1"/>
  <c r="AB762" i="1" s="1"/>
  <c r="V762" i="1"/>
  <c r="X762" i="1" s="1"/>
  <c r="AJ761" i="1"/>
  <c r="AI761" i="1"/>
  <c r="AG761" i="1"/>
  <c r="AA761" i="1"/>
  <c r="AB761" i="1" s="1"/>
  <c r="BJ760" i="1"/>
  <c r="BI760" i="1"/>
  <c r="BH760" i="1"/>
  <c r="BE760" i="1"/>
  <c r="BM760" i="1" s="1"/>
  <c r="AV760" i="1"/>
  <c r="AJ760" i="1"/>
  <c r="AF760" i="1"/>
  <c r="AI760" i="1" s="1"/>
  <c r="AE760" i="1"/>
  <c r="AD760" i="1"/>
  <c r="AA760" i="1"/>
  <c r="V760" i="1"/>
  <c r="X760" i="1" s="1"/>
  <c r="BJ759" i="1"/>
  <c r="BI759" i="1"/>
  <c r="BH759" i="1"/>
  <c r="BE759" i="1"/>
  <c r="BM759" i="1" s="1"/>
  <c r="AV759" i="1"/>
  <c r="AJ759" i="1"/>
  <c r="AI759" i="1"/>
  <c r="AG759" i="1"/>
  <c r="AY759" i="1" s="1"/>
  <c r="AA759" i="1"/>
  <c r="AC759" i="1" s="1"/>
  <c r="V759" i="1"/>
  <c r="X759" i="1" s="1"/>
  <c r="BJ758" i="1"/>
  <c r="BI758" i="1"/>
  <c r="BH758" i="1"/>
  <c r="BE758" i="1"/>
  <c r="BM758" i="1" s="1"/>
  <c r="AV758" i="1"/>
  <c r="AJ758" i="1"/>
  <c r="AI758" i="1"/>
  <c r="AG758" i="1"/>
  <c r="AA758" i="1"/>
  <c r="AB758" i="1" s="1"/>
  <c r="V758" i="1"/>
  <c r="X758" i="1" s="1"/>
  <c r="BJ757" i="1"/>
  <c r="BI757" i="1"/>
  <c r="BH757" i="1"/>
  <c r="BE757" i="1"/>
  <c r="AJ757" i="1"/>
  <c r="AI757" i="1"/>
  <c r="AG757" i="1"/>
  <c r="AA757" i="1"/>
  <c r="AC757" i="1" s="1"/>
  <c r="V757" i="1"/>
  <c r="X757" i="1" s="1"/>
  <c r="BJ756" i="1"/>
  <c r="BI756" i="1"/>
  <c r="BH756" i="1"/>
  <c r="BE756" i="1"/>
  <c r="BM756" i="1" s="1"/>
  <c r="AJ756" i="1"/>
  <c r="AI756" i="1"/>
  <c r="AG756" i="1"/>
  <c r="AA756" i="1"/>
  <c r="AC756" i="1" s="1"/>
  <c r="V756" i="1"/>
  <c r="X756" i="1" s="1"/>
  <c r="BJ755" i="1"/>
  <c r="BI755" i="1"/>
  <c r="BH755" i="1"/>
  <c r="BE755" i="1"/>
  <c r="AJ755" i="1"/>
  <c r="AI755" i="1"/>
  <c r="AG755" i="1"/>
  <c r="AY755" i="1" s="1"/>
  <c r="AA755" i="1"/>
  <c r="AC755" i="1" s="1"/>
  <c r="V755" i="1"/>
  <c r="X755" i="1" s="1"/>
  <c r="BJ754" i="1"/>
  <c r="BI754" i="1"/>
  <c r="BH754" i="1"/>
  <c r="BE754" i="1"/>
  <c r="BM754" i="1" s="1"/>
  <c r="AJ754" i="1"/>
  <c r="AI754" i="1"/>
  <c r="AG754" i="1"/>
  <c r="AY754" i="1" s="1"/>
  <c r="AA754" i="1"/>
  <c r="V754" i="1"/>
  <c r="X754" i="1" s="1"/>
  <c r="BJ753" i="1"/>
  <c r="BI753" i="1"/>
  <c r="BH753" i="1"/>
  <c r="BE753" i="1"/>
  <c r="BM753" i="1" s="1"/>
  <c r="AJ753" i="1"/>
  <c r="AI753" i="1"/>
  <c r="AG753" i="1"/>
  <c r="AA753" i="1"/>
  <c r="V753" i="1"/>
  <c r="X753" i="1" s="1"/>
  <c r="BJ752" i="1"/>
  <c r="BI752" i="1"/>
  <c r="BH752" i="1"/>
  <c r="BE752" i="1"/>
  <c r="AV752" i="1"/>
  <c r="AJ752" i="1"/>
  <c r="AI752" i="1"/>
  <c r="AG752" i="1"/>
  <c r="AX752" i="1" s="1"/>
  <c r="AA752" i="1"/>
  <c r="AB752" i="1" s="1"/>
  <c r="V752" i="1"/>
  <c r="X752" i="1" s="1"/>
  <c r="BJ751" i="1"/>
  <c r="BI751" i="1"/>
  <c r="BH751" i="1"/>
  <c r="BE751" i="1"/>
  <c r="AJ751" i="1"/>
  <c r="AI751" i="1"/>
  <c r="AG751" i="1"/>
  <c r="AY751" i="1" s="1"/>
  <c r="AA751" i="1"/>
  <c r="V751" i="1"/>
  <c r="X751" i="1" s="1"/>
  <c r="BJ750" i="1"/>
  <c r="BI750" i="1"/>
  <c r="BH750" i="1"/>
  <c r="BE750" i="1"/>
  <c r="BM750" i="1" s="1"/>
  <c r="AJ750" i="1"/>
  <c r="AI750" i="1"/>
  <c r="AG750" i="1"/>
  <c r="AX750" i="1" s="1"/>
  <c r="AA750" i="1"/>
  <c r="AC750" i="1" s="1"/>
  <c r="V750" i="1"/>
  <c r="X750" i="1" s="1"/>
  <c r="AJ749" i="1"/>
  <c r="AO749" i="1" s="1"/>
  <c r="AI749" i="1"/>
  <c r="AG749" i="1"/>
  <c r="AA749" i="1"/>
  <c r="AC749" i="1" s="1"/>
  <c r="BJ748" i="1"/>
  <c r="BI748" i="1"/>
  <c r="BH748" i="1"/>
  <c r="BE748" i="1"/>
  <c r="BM748" i="1" s="1"/>
  <c r="AJ748" i="1"/>
  <c r="AI748" i="1"/>
  <c r="AD748" i="1"/>
  <c r="AG748" i="1" s="1"/>
  <c r="AA748" i="1"/>
  <c r="V748" i="1"/>
  <c r="X748" i="1" s="1"/>
  <c r="BJ747" i="1"/>
  <c r="BI747" i="1"/>
  <c r="BH747" i="1"/>
  <c r="BE747" i="1"/>
  <c r="BM747" i="1" s="1"/>
  <c r="AV747" i="1"/>
  <c r="AJ747" i="1"/>
  <c r="AI747" i="1"/>
  <c r="AG747" i="1"/>
  <c r="AA747" i="1"/>
  <c r="AC747" i="1" s="1"/>
  <c r="V747" i="1"/>
  <c r="X747" i="1" s="1"/>
  <c r="BJ746" i="1"/>
  <c r="BI746" i="1"/>
  <c r="BH746" i="1"/>
  <c r="BE746" i="1"/>
  <c r="AJ746" i="1"/>
  <c r="AI746" i="1"/>
  <c r="AG746" i="1"/>
  <c r="AY746" i="1" s="1"/>
  <c r="AA746" i="1"/>
  <c r="V746" i="1"/>
  <c r="X746" i="1" s="1"/>
  <c r="BJ745" i="1"/>
  <c r="BI745" i="1"/>
  <c r="BH745" i="1"/>
  <c r="BE745" i="1"/>
  <c r="BM745" i="1" s="1"/>
  <c r="AJ745" i="1"/>
  <c r="AI745" i="1"/>
  <c r="AG745" i="1"/>
  <c r="AY745" i="1" s="1"/>
  <c r="AA745" i="1"/>
  <c r="V745" i="1"/>
  <c r="X745" i="1" s="1"/>
  <c r="BJ744" i="1"/>
  <c r="BI744" i="1"/>
  <c r="BH744" i="1"/>
  <c r="BE744" i="1"/>
  <c r="BM744" i="1" s="1"/>
  <c r="AV744" i="1"/>
  <c r="AJ744" i="1"/>
  <c r="AI744" i="1"/>
  <c r="AG744" i="1"/>
  <c r="AY744" i="1" s="1"/>
  <c r="AA744" i="1"/>
  <c r="AB744" i="1" s="1"/>
  <c r="V744" i="1"/>
  <c r="X744" i="1" s="1"/>
  <c r="BJ743" i="1"/>
  <c r="BI743" i="1"/>
  <c r="BH743" i="1"/>
  <c r="BE743" i="1"/>
  <c r="BM743" i="1" s="1"/>
  <c r="AV743" i="1"/>
  <c r="AJ743" i="1"/>
  <c r="AI743" i="1"/>
  <c r="AG743" i="1"/>
  <c r="AX743" i="1" s="1"/>
  <c r="AA743" i="1"/>
  <c r="V743" i="1"/>
  <c r="X743" i="1" s="1"/>
  <c r="BJ742" i="1"/>
  <c r="BI742" i="1"/>
  <c r="BH742" i="1"/>
  <c r="BE742" i="1"/>
  <c r="BM742" i="1" s="1"/>
  <c r="AV742" i="1"/>
  <c r="AJ742" i="1"/>
  <c r="AI742" i="1"/>
  <c r="AG742" i="1"/>
  <c r="AA742" i="1"/>
  <c r="AB742" i="1" s="1"/>
  <c r="V742" i="1"/>
  <c r="X742" i="1" s="1"/>
  <c r="BJ741" i="1"/>
  <c r="BI741" i="1"/>
  <c r="BK741" i="1" s="1"/>
  <c r="BH741" i="1"/>
  <c r="BE741" i="1"/>
  <c r="AJ741" i="1"/>
  <c r="AI741" i="1"/>
  <c r="AG741" i="1"/>
  <c r="AY741" i="1" s="1"/>
  <c r="AA741" i="1"/>
  <c r="AB741" i="1" s="1"/>
  <c r="V741" i="1"/>
  <c r="X741" i="1" s="1"/>
  <c r="BJ740" i="1"/>
  <c r="BI740" i="1"/>
  <c r="BH740" i="1"/>
  <c r="BE740" i="1"/>
  <c r="BM740" i="1" s="1"/>
  <c r="AV740" i="1"/>
  <c r="AJ740" i="1"/>
  <c r="AI740" i="1"/>
  <c r="AG740" i="1"/>
  <c r="AY740" i="1" s="1"/>
  <c r="AA740" i="1"/>
  <c r="AC740" i="1" s="1"/>
  <c r="V740" i="1"/>
  <c r="X740" i="1" s="1"/>
  <c r="BJ739" i="1"/>
  <c r="BI739" i="1"/>
  <c r="BH739" i="1"/>
  <c r="BE739" i="1"/>
  <c r="BM739" i="1" s="1"/>
  <c r="AJ739" i="1"/>
  <c r="AI739" i="1"/>
  <c r="AG739" i="1"/>
  <c r="AY739" i="1" s="1"/>
  <c r="AA739" i="1"/>
  <c r="V739" i="1"/>
  <c r="X739" i="1" s="1"/>
  <c r="BJ738" i="1"/>
  <c r="BI738" i="1"/>
  <c r="BH738" i="1"/>
  <c r="BE738" i="1"/>
  <c r="AJ738" i="1"/>
  <c r="AI738" i="1"/>
  <c r="AG738" i="1"/>
  <c r="AY738" i="1" s="1"/>
  <c r="AA738" i="1"/>
  <c r="AC738" i="1" s="1"/>
  <c r="V738" i="1"/>
  <c r="X738" i="1" s="1"/>
  <c r="BJ737" i="1"/>
  <c r="BI737" i="1"/>
  <c r="BH737" i="1"/>
  <c r="BE737" i="1"/>
  <c r="AJ737" i="1"/>
  <c r="AO737" i="1" s="1"/>
  <c r="AI737" i="1"/>
  <c r="AG737" i="1"/>
  <c r="AA737" i="1"/>
  <c r="V737" i="1"/>
  <c r="X737" i="1" s="1"/>
  <c r="BJ736" i="1"/>
  <c r="BI736" i="1"/>
  <c r="BH736" i="1"/>
  <c r="BE736" i="1"/>
  <c r="AV736" i="1"/>
  <c r="AJ736" i="1"/>
  <c r="AI736" i="1"/>
  <c r="AG736" i="1"/>
  <c r="AA736" i="1"/>
  <c r="AC736" i="1" s="1"/>
  <c r="V736" i="1"/>
  <c r="X736" i="1" s="1"/>
  <c r="BJ735" i="1"/>
  <c r="BI735" i="1"/>
  <c r="BH735" i="1"/>
  <c r="BE735" i="1"/>
  <c r="AV735" i="1"/>
  <c r="AJ735" i="1"/>
  <c r="AO735" i="1" s="1"/>
  <c r="AI735" i="1"/>
  <c r="AG735" i="1"/>
  <c r="AY735" i="1" s="1"/>
  <c r="AA735" i="1"/>
  <c r="AB735" i="1" s="1"/>
  <c r="V735" i="1"/>
  <c r="X735" i="1" s="1"/>
  <c r="BJ734" i="1"/>
  <c r="BI734" i="1"/>
  <c r="BH734" i="1"/>
  <c r="BE734" i="1"/>
  <c r="AV734" i="1"/>
  <c r="AJ734" i="1"/>
  <c r="AI734" i="1"/>
  <c r="AG734" i="1"/>
  <c r="AX734" i="1" s="1"/>
  <c r="AA734" i="1"/>
  <c r="V734" i="1"/>
  <c r="X734" i="1" s="1"/>
  <c r="BJ733" i="1"/>
  <c r="BI733" i="1"/>
  <c r="BH733" i="1"/>
  <c r="BE733" i="1"/>
  <c r="BM733" i="1" s="1"/>
  <c r="AV733" i="1"/>
  <c r="AJ733" i="1"/>
  <c r="AI733" i="1"/>
  <c r="AG733" i="1"/>
  <c r="AA733" i="1"/>
  <c r="V733" i="1"/>
  <c r="X733" i="1" s="1"/>
  <c r="BJ732" i="1"/>
  <c r="BI732" i="1"/>
  <c r="BH732" i="1"/>
  <c r="BE732" i="1"/>
  <c r="BM732" i="1" s="1"/>
  <c r="AV732" i="1"/>
  <c r="AJ732" i="1"/>
  <c r="AI732" i="1"/>
  <c r="AG732" i="1"/>
  <c r="AA732" i="1"/>
  <c r="AC732" i="1" s="1"/>
  <c r="V732" i="1"/>
  <c r="X732" i="1" s="1"/>
  <c r="AJ731" i="1"/>
  <c r="AI731" i="1"/>
  <c r="AG731" i="1"/>
  <c r="AA731" i="1"/>
  <c r="AC731" i="1" s="1"/>
  <c r="BJ730" i="1"/>
  <c r="BI730" i="1"/>
  <c r="BH730" i="1"/>
  <c r="BE730" i="1"/>
  <c r="BM730" i="1" s="1"/>
  <c r="AV730" i="1"/>
  <c r="AL730" i="1"/>
  <c r="AJ730" i="1"/>
  <c r="AF730" i="1"/>
  <c r="AI730" i="1" s="1"/>
  <c r="AE730" i="1"/>
  <c r="AD730" i="1"/>
  <c r="AA730" i="1"/>
  <c r="V730" i="1"/>
  <c r="X730" i="1" s="1"/>
  <c r="BJ729" i="1"/>
  <c r="BI729" i="1"/>
  <c r="BH729" i="1"/>
  <c r="BE729" i="1"/>
  <c r="BM729" i="1" s="1"/>
  <c r="AV729" i="1"/>
  <c r="AJ729" i="1"/>
  <c r="AI729" i="1"/>
  <c r="AG729" i="1"/>
  <c r="AY729" i="1" s="1"/>
  <c r="AA729" i="1"/>
  <c r="V729" i="1"/>
  <c r="X729" i="1" s="1"/>
  <c r="BJ728" i="1"/>
  <c r="BI728" i="1"/>
  <c r="BH728" i="1"/>
  <c r="BE728" i="1"/>
  <c r="AJ728" i="1"/>
  <c r="AI728" i="1"/>
  <c r="AG728" i="1"/>
  <c r="AA728" i="1"/>
  <c r="AB728" i="1" s="1"/>
  <c r="V728" i="1"/>
  <c r="X728" i="1" s="1"/>
  <c r="BJ727" i="1"/>
  <c r="BI727" i="1"/>
  <c r="BH727" i="1"/>
  <c r="BE727" i="1"/>
  <c r="BM727" i="1" s="1"/>
  <c r="AJ727" i="1"/>
  <c r="AI727" i="1"/>
  <c r="AG727" i="1"/>
  <c r="AA727" i="1"/>
  <c r="V727" i="1"/>
  <c r="X727" i="1" s="1"/>
  <c r="BJ726" i="1"/>
  <c r="BI726" i="1"/>
  <c r="BH726" i="1"/>
  <c r="BE726" i="1"/>
  <c r="AJ726" i="1"/>
  <c r="AI726" i="1"/>
  <c r="AG726" i="1"/>
  <c r="AA726" i="1"/>
  <c r="AC726" i="1" s="1"/>
  <c r="V726" i="1"/>
  <c r="X726" i="1" s="1"/>
  <c r="BJ725" i="1"/>
  <c r="BI725" i="1"/>
  <c r="BH725" i="1"/>
  <c r="BE725" i="1"/>
  <c r="BM725" i="1" s="1"/>
  <c r="AJ725" i="1"/>
  <c r="AI725" i="1"/>
  <c r="AG725" i="1"/>
  <c r="AY725" i="1" s="1"/>
  <c r="AA725" i="1"/>
  <c r="AB725" i="1" s="1"/>
  <c r="V725" i="1"/>
  <c r="X725" i="1" s="1"/>
  <c r="BJ724" i="1"/>
  <c r="BI724" i="1"/>
  <c r="BH724" i="1"/>
  <c r="BE724" i="1"/>
  <c r="BM724" i="1" s="1"/>
  <c r="AJ724" i="1"/>
  <c r="AI724" i="1"/>
  <c r="AG724" i="1"/>
  <c r="AX724" i="1" s="1"/>
  <c r="AA724" i="1"/>
  <c r="V724" i="1"/>
  <c r="X724" i="1" s="1"/>
  <c r="BJ723" i="1"/>
  <c r="BI723" i="1"/>
  <c r="BH723" i="1"/>
  <c r="BE723" i="1"/>
  <c r="AV723" i="1"/>
  <c r="AJ723" i="1"/>
  <c r="AI723" i="1"/>
  <c r="AG723" i="1"/>
  <c r="AA723" i="1"/>
  <c r="AB723" i="1" s="1"/>
  <c r="V723" i="1"/>
  <c r="X723" i="1" s="1"/>
  <c r="BJ722" i="1"/>
  <c r="BI722" i="1"/>
  <c r="BH722" i="1"/>
  <c r="BE722" i="1"/>
  <c r="AJ722" i="1"/>
  <c r="AI722" i="1"/>
  <c r="AG722" i="1"/>
  <c r="AA722" i="1"/>
  <c r="V722" i="1"/>
  <c r="X722" i="1" s="1"/>
  <c r="BJ721" i="1"/>
  <c r="BI721" i="1"/>
  <c r="BH721" i="1"/>
  <c r="BE721" i="1"/>
  <c r="AJ721" i="1"/>
  <c r="AI721" i="1"/>
  <c r="AG721" i="1"/>
  <c r="AA721" i="1"/>
  <c r="AC721" i="1" s="1"/>
  <c r="V721" i="1"/>
  <c r="X721" i="1" s="1"/>
  <c r="BJ720" i="1"/>
  <c r="BI720" i="1"/>
  <c r="BH720" i="1"/>
  <c r="BE720" i="1"/>
  <c r="BM720" i="1" s="1"/>
  <c r="AJ720" i="1"/>
  <c r="AI720" i="1"/>
  <c r="AG720" i="1"/>
  <c r="AY720" i="1" s="1"/>
  <c r="AA720" i="1"/>
  <c r="AB720" i="1" s="1"/>
  <c r="V720" i="1"/>
  <c r="X720" i="1" s="1"/>
  <c r="BJ719" i="1"/>
  <c r="BI719" i="1"/>
  <c r="BH719" i="1"/>
  <c r="BE719" i="1"/>
  <c r="BM719" i="1" s="1"/>
  <c r="AV719" i="1"/>
  <c r="AJ719" i="1"/>
  <c r="AI719" i="1"/>
  <c r="AG719" i="1"/>
  <c r="AX719" i="1" s="1"/>
  <c r="AA719" i="1"/>
  <c r="V719" i="1"/>
  <c r="X719" i="1" s="1"/>
  <c r="BJ718" i="1"/>
  <c r="BI718" i="1"/>
  <c r="BH718" i="1"/>
  <c r="BE718" i="1"/>
  <c r="AV718" i="1"/>
  <c r="AJ718" i="1"/>
  <c r="AI718" i="1"/>
  <c r="AG718" i="1"/>
  <c r="AY718" i="1" s="1"/>
  <c r="AA718" i="1"/>
  <c r="AC718" i="1" s="1"/>
  <c r="V718" i="1"/>
  <c r="X718" i="1" s="1"/>
  <c r="BJ717" i="1"/>
  <c r="BI717" i="1"/>
  <c r="BH717" i="1"/>
  <c r="BE717" i="1"/>
  <c r="BM717" i="1" s="1"/>
  <c r="AV717" i="1"/>
  <c r="AJ717" i="1"/>
  <c r="AO717" i="1" s="1"/>
  <c r="AI717" i="1"/>
  <c r="AG717" i="1"/>
  <c r="AA717" i="1"/>
  <c r="AB717" i="1" s="1"/>
  <c r="V717" i="1"/>
  <c r="X717" i="1" s="1"/>
  <c r="BJ716" i="1"/>
  <c r="BI716" i="1"/>
  <c r="BH716" i="1"/>
  <c r="BE716" i="1"/>
  <c r="AV716" i="1"/>
  <c r="AJ716" i="1"/>
  <c r="AI716" i="1"/>
  <c r="AG716" i="1"/>
  <c r="AA716" i="1"/>
  <c r="AC716" i="1" s="1"/>
  <c r="V716" i="1"/>
  <c r="X716" i="1" s="1"/>
  <c r="AJ715" i="1"/>
  <c r="AO715" i="1" s="1"/>
  <c r="AI715" i="1"/>
  <c r="AG715" i="1"/>
  <c r="AA715" i="1"/>
  <c r="BJ714" i="1"/>
  <c r="BI714" i="1"/>
  <c r="BH714" i="1"/>
  <c r="BE714" i="1"/>
  <c r="AJ714" i="1"/>
  <c r="AO714" i="1" s="1"/>
  <c r="AI714" i="1"/>
  <c r="AD714" i="1"/>
  <c r="AA714" i="1"/>
  <c r="V714" i="1"/>
  <c r="X714" i="1" s="1"/>
  <c r="BJ713" i="1"/>
  <c r="BI713" i="1"/>
  <c r="BH713" i="1"/>
  <c r="BE713" i="1"/>
  <c r="BM713" i="1" s="1"/>
  <c r="AV713" i="1"/>
  <c r="AJ713" i="1"/>
  <c r="AI713" i="1"/>
  <c r="AG713" i="1"/>
  <c r="AY713" i="1" s="1"/>
  <c r="AA713" i="1"/>
  <c r="V713" i="1"/>
  <c r="X713" i="1" s="1"/>
  <c r="BJ712" i="1"/>
  <c r="BI712" i="1"/>
  <c r="BH712" i="1"/>
  <c r="BE712" i="1"/>
  <c r="AV712" i="1"/>
  <c r="AJ712" i="1"/>
  <c r="AI712" i="1"/>
  <c r="AG712" i="1"/>
  <c r="AA712" i="1"/>
  <c r="AC712" i="1" s="1"/>
  <c r="V712" i="1"/>
  <c r="X712" i="1" s="1"/>
  <c r="BJ711" i="1"/>
  <c r="BI711" i="1"/>
  <c r="BH711" i="1"/>
  <c r="BE711" i="1"/>
  <c r="AV711" i="1"/>
  <c r="AJ711" i="1"/>
  <c r="AI711" i="1"/>
  <c r="AG711" i="1"/>
  <c r="AY711" i="1" s="1"/>
  <c r="AA711" i="1"/>
  <c r="AC711" i="1" s="1"/>
  <c r="V711" i="1"/>
  <c r="X711" i="1" s="1"/>
  <c r="BJ710" i="1"/>
  <c r="BI710" i="1"/>
  <c r="BH710" i="1"/>
  <c r="BE710" i="1"/>
  <c r="BM710" i="1" s="1"/>
  <c r="AV710" i="1"/>
  <c r="AJ710" i="1"/>
  <c r="AI710" i="1"/>
  <c r="AG710" i="1"/>
  <c r="AX710" i="1" s="1"/>
  <c r="AA710" i="1"/>
  <c r="V710" i="1"/>
  <c r="X710" i="1" s="1"/>
  <c r="BJ709" i="1"/>
  <c r="BI709" i="1"/>
  <c r="BH709" i="1"/>
  <c r="BE709" i="1"/>
  <c r="AV709" i="1"/>
  <c r="AJ709" i="1"/>
  <c r="AI709" i="1"/>
  <c r="AG709" i="1"/>
  <c r="AA709" i="1"/>
  <c r="AC709" i="1" s="1"/>
  <c r="V709" i="1"/>
  <c r="X709" i="1" s="1"/>
  <c r="BJ708" i="1"/>
  <c r="BI708" i="1"/>
  <c r="BH708" i="1"/>
  <c r="BE708" i="1"/>
  <c r="BM708" i="1" s="1"/>
  <c r="AV708" i="1"/>
  <c r="AJ708" i="1"/>
  <c r="AO708" i="1" s="1"/>
  <c r="AI708" i="1"/>
  <c r="AG708" i="1"/>
  <c r="AY708" i="1" s="1"/>
  <c r="AA708" i="1"/>
  <c r="AB708" i="1" s="1"/>
  <c r="V708" i="1"/>
  <c r="X708" i="1" s="1"/>
  <c r="BJ707" i="1"/>
  <c r="BI707" i="1"/>
  <c r="BH707" i="1"/>
  <c r="BE707" i="1"/>
  <c r="BM707" i="1" s="1"/>
  <c r="AJ707" i="1"/>
  <c r="AI707" i="1"/>
  <c r="AG707" i="1"/>
  <c r="AA707" i="1"/>
  <c r="AC707" i="1" s="1"/>
  <c r="V707" i="1"/>
  <c r="X707" i="1" s="1"/>
  <c r="BJ706" i="1"/>
  <c r="BI706" i="1"/>
  <c r="BH706" i="1"/>
  <c r="BE706" i="1"/>
  <c r="BM706" i="1" s="1"/>
  <c r="AJ706" i="1"/>
  <c r="AI706" i="1"/>
  <c r="AG706" i="1"/>
  <c r="AA706" i="1"/>
  <c r="AC706" i="1" s="1"/>
  <c r="V706" i="1"/>
  <c r="X706" i="1" s="1"/>
  <c r="BJ705" i="1"/>
  <c r="BI705" i="1"/>
  <c r="BH705" i="1"/>
  <c r="BE705" i="1"/>
  <c r="AJ705" i="1"/>
  <c r="AI705" i="1"/>
  <c r="AG705" i="1"/>
  <c r="AA705" i="1"/>
  <c r="AB705" i="1" s="1"/>
  <c r="V705" i="1"/>
  <c r="X705" i="1" s="1"/>
  <c r="BJ704" i="1"/>
  <c r="BI704" i="1"/>
  <c r="BH704" i="1"/>
  <c r="BE704" i="1"/>
  <c r="AJ704" i="1"/>
  <c r="AI704" i="1"/>
  <c r="AG704" i="1"/>
  <c r="AA704" i="1"/>
  <c r="V704" i="1"/>
  <c r="X704" i="1" s="1"/>
  <c r="BJ703" i="1"/>
  <c r="BI703" i="1"/>
  <c r="BH703" i="1"/>
  <c r="BE703" i="1"/>
  <c r="AV703" i="1"/>
  <c r="AJ703" i="1"/>
  <c r="AI703" i="1"/>
  <c r="AG703" i="1"/>
  <c r="AY703" i="1" s="1"/>
  <c r="AA703" i="1"/>
  <c r="V703" i="1"/>
  <c r="X703" i="1" s="1"/>
  <c r="AJ702" i="1"/>
  <c r="AO702" i="1" s="1"/>
  <c r="AI702" i="1"/>
  <c r="AG702" i="1"/>
  <c r="AA702" i="1"/>
  <c r="AC702" i="1" s="1"/>
  <c r="AJ701" i="1"/>
  <c r="AO701" i="1" s="1"/>
  <c r="AI701" i="1"/>
  <c r="AG701" i="1"/>
  <c r="AA701" i="1"/>
  <c r="BJ700" i="1"/>
  <c r="BI700" i="1"/>
  <c r="BH700" i="1"/>
  <c r="BE700" i="1"/>
  <c r="BM700" i="1" s="1"/>
  <c r="AV700" i="1"/>
  <c r="AL700" i="1"/>
  <c r="AJ700" i="1"/>
  <c r="AF700" i="1"/>
  <c r="AI700" i="1" s="1"/>
  <c r="AE700" i="1"/>
  <c r="AD700" i="1"/>
  <c r="AA700" i="1"/>
  <c r="V700" i="1"/>
  <c r="X700" i="1" s="1"/>
  <c r="AJ699" i="1"/>
  <c r="AI699" i="1"/>
  <c r="AG699" i="1"/>
  <c r="AA699" i="1"/>
  <c r="AC699" i="1" s="1"/>
  <c r="BJ698" i="1"/>
  <c r="BI698" i="1"/>
  <c r="BH698" i="1"/>
  <c r="BE698" i="1"/>
  <c r="BM698" i="1" s="1"/>
  <c r="AJ698" i="1"/>
  <c r="AI698" i="1"/>
  <c r="AG698" i="1"/>
  <c r="AA698" i="1"/>
  <c r="V698" i="1"/>
  <c r="X698" i="1" s="1"/>
  <c r="BJ697" i="1"/>
  <c r="BI697" i="1"/>
  <c r="BH697" i="1"/>
  <c r="BE697" i="1"/>
  <c r="AV697" i="1"/>
  <c r="AJ697" i="1"/>
  <c r="AI697" i="1"/>
  <c r="AG697" i="1"/>
  <c r="AY697" i="1" s="1"/>
  <c r="AA697" i="1"/>
  <c r="V697" i="1"/>
  <c r="X697" i="1" s="1"/>
  <c r="BJ696" i="1"/>
  <c r="BI696" i="1"/>
  <c r="BH696" i="1"/>
  <c r="BE696" i="1"/>
  <c r="BM696" i="1" s="1"/>
  <c r="AJ696" i="1"/>
  <c r="AI696" i="1"/>
  <c r="AG696" i="1"/>
  <c r="AA696" i="1"/>
  <c r="AC696" i="1" s="1"/>
  <c r="V696" i="1"/>
  <c r="X696" i="1" s="1"/>
  <c r="BJ695" i="1"/>
  <c r="BI695" i="1"/>
  <c r="BH695" i="1"/>
  <c r="BE695" i="1"/>
  <c r="AV695" i="1"/>
  <c r="AJ695" i="1"/>
  <c r="AI695" i="1"/>
  <c r="AG695" i="1"/>
  <c r="AA695" i="1"/>
  <c r="AB695" i="1" s="1"/>
  <c r="V695" i="1"/>
  <c r="X695" i="1" s="1"/>
  <c r="BJ694" i="1"/>
  <c r="BI694" i="1"/>
  <c r="BH694" i="1"/>
  <c r="BE694" i="1"/>
  <c r="AJ694" i="1"/>
  <c r="AI694" i="1"/>
  <c r="AG694" i="1"/>
  <c r="AX694" i="1" s="1"/>
  <c r="AA694" i="1"/>
  <c r="AC694" i="1" s="1"/>
  <c r="V694" i="1"/>
  <c r="X694" i="1" s="1"/>
  <c r="BJ693" i="1"/>
  <c r="BI693" i="1"/>
  <c r="BH693" i="1"/>
  <c r="BE693" i="1"/>
  <c r="AV693" i="1"/>
  <c r="AJ693" i="1"/>
  <c r="AI693" i="1"/>
  <c r="AG693" i="1"/>
  <c r="AY693" i="1" s="1"/>
  <c r="AA693" i="1"/>
  <c r="AC693" i="1" s="1"/>
  <c r="V693" i="1"/>
  <c r="X693" i="1" s="1"/>
  <c r="AJ692" i="1"/>
  <c r="AI692" i="1"/>
  <c r="AG692" i="1"/>
  <c r="AA692" i="1"/>
  <c r="BJ691" i="1"/>
  <c r="BI691" i="1"/>
  <c r="BH691" i="1"/>
  <c r="BE691" i="1"/>
  <c r="BM691" i="1" s="1"/>
  <c r="AV691" i="1"/>
  <c r="AJ691" i="1"/>
  <c r="AF691" i="1"/>
  <c r="AI691" i="1" s="1"/>
  <c r="AE691" i="1"/>
  <c r="AD691" i="1"/>
  <c r="AA691" i="1"/>
  <c r="V691" i="1"/>
  <c r="X691" i="1" s="1"/>
  <c r="BJ690" i="1"/>
  <c r="BI690" i="1"/>
  <c r="BH690" i="1"/>
  <c r="BE690" i="1"/>
  <c r="BM690" i="1" s="1"/>
  <c r="AJ690" i="1"/>
  <c r="AI690" i="1"/>
  <c r="AG690" i="1"/>
  <c r="AY690" i="1" s="1"/>
  <c r="AA690" i="1"/>
  <c r="AC690" i="1" s="1"/>
  <c r="V690" i="1"/>
  <c r="X690" i="1" s="1"/>
  <c r="BJ689" i="1"/>
  <c r="BI689" i="1"/>
  <c r="BH689" i="1"/>
  <c r="BE689" i="1"/>
  <c r="BM689" i="1" s="1"/>
  <c r="AV689" i="1"/>
  <c r="AJ689" i="1"/>
  <c r="AI689" i="1"/>
  <c r="AG689" i="1"/>
  <c r="AA689" i="1"/>
  <c r="V689" i="1"/>
  <c r="X689" i="1" s="1"/>
  <c r="BJ688" i="1"/>
  <c r="BI688" i="1"/>
  <c r="BH688" i="1"/>
  <c r="BE688" i="1"/>
  <c r="AV688" i="1"/>
  <c r="AJ688" i="1"/>
  <c r="AO688" i="1" s="1"/>
  <c r="AI688" i="1"/>
  <c r="AG688" i="1"/>
  <c r="AY688" i="1" s="1"/>
  <c r="AA688" i="1"/>
  <c r="AC688" i="1" s="1"/>
  <c r="V688" i="1"/>
  <c r="X688" i="1" s="1"/>
  <c r="BJ687" i="1"/>
  <c r="BI687" i="1"/>
  <c r="BH687" i="1"/>
  <c r="BE687" i="1"/>
  <c r="BM687" i="1" s="1"/>
  <c r="AV687" i="1"/>
  <c r="AJ687" i="1"/>
  <c r="AI687" i="1"/>
  <c r="AG687" i="1"/>
  <c r="AA687" i="1"/>
  <c r="AB687" i="1" s="1"/>
  <c r="V687" i="1"/>
  <c r="X687" i="1" s="1"/>
  <c r="BJ686" i="1"/>
  <c r="BI686" i="1"/>
  <c r="BH686" i="1"/>
  <c r="BE686" i="1"/>
  <c r="BM686" i="1" s="1"/>
  <c r="AV686" i="1"/>
  <c r="AJ686" i="1"/>
  <c r="AI686" i="1"/>
  <c r="AG686" i="1"/>
  <c r="AX686" i="1" s="1"/>
  <c r="AA686" i="1"/>
  <c r="AC686" i="1" s="1"/>
  <c r="V686" i="1"/>
  <c r="X686" i="1" s="1"/>
  <c r="BJ685" i="1"/>
  <c r="BI685" i="1"/>
  <c r="BH685" i="1"/>
  <c r="BE685" i="1"/>
  <c r="BM685" i="1" s="1"/>
  <c r="AV685" i="1"/>
  <c r="AJ685" i="1"/>
  <c r="AI685" i="1"/>
  <c r="AG685" i="1"/>
  <c r="AA685" i="1"/>
  <c r="AC685" i="1" s="1"/>
  <c r="V685" i="1"/>
  <c r="X685" i="1" s="1"/>
  <c r="BJ684" i="1"/>
  <c r="BI684" i="1"/>
  <c r="BH684" i="1"/>
  <c r="BE684" i="1"/>
  <c r="AJ684" i="1"/>
  <c r="AI684" i="1"/>
  <c r="AG684" i="1"/>
  <c r="AY684" i="1" s="1"/>
  <c r="AA684" i="1"/>
  <c r="AC684" i="1" s="1"/>
  <c r="V684" i="1"/>
  <c r="X684" i="1" s="1"/>
  <c r="BJ683" i="1"/>
  <c r="BI683" i="1"/>
  <c r="BH683" i="1"/>
  <c r="BE683" i="1"/>
  <c r="AJ683" i="1"/>
  <c r="AO683" i="1" s="1"/>
  <c r="AI683" i="1"/>
  <c r="AG683" i="1"/>
  <c r="AA683" i="1"/>
  <c r="V683" i="1"/>
  <c r="X683" i="1" s="1"/>
  <c r="BJ682" i="1"/>
  <c r="BI682" i="1"/>
  <c r="BH682" i="1"/>
  <c r="BE682" i="1"/>
  <c r="AV682" i="1"/>
  <c r="AJ682" i="1"/>
  <c r="AI682" i="1"/>
  <c r="AG682" i="1"/>
  <c r="AY682" i="1" s="1"/>
  <c r="AA682" i="1"/>
  <c r="V682" i="1"/>
  <c r="X682" i="1" s="1"/>
  <c r="BJ681" i="1"/>
  <c r="BI681" i="1"/>
  <c r="BH681" i="1"/>
  <c r="BE681" i="1"/>
  <c r="AJ681" i="1"/>
  <c r="AI681" i="1"/>
  <c r="AG681" i="1"/>
  <c r="AA681" i="1"/>
  <c r="AC681" i="1" s="1"/>
  <c r="V681" i="1"/>
  <c r="X681" i="1" s="1"/>
  <c r="BJ680" i="1"/>
  <c r="BI680" i="1"/>
  <c r="BH680" i="1"/>
  <c r="BE680" i="1"/>
  <c r="AV680" i="1"/>
  <c r="AJ680" i="1"/>
  <c r="AI680" i="1"/>
  <c r="AG680" i="1"/>
  <c r="AA680" i="1"/>
  <c r="AB680" i="1" s="1"/>
  <c r="V680" i="1"/>
  <c r="X680" i="1" s="1"/>
  <c r="BJ679" i="1"/>
  <c r="BI679" i="1"/>
  <c r="BH679" i="1"/>
  <c r="BE679" i="1"/>
  <c r="AJ679" i="1"/>
  <c r="AO679" i="1" s="1"/>
  <c r="AI679" i="1"/>
  <c r="AG679" i="1"/>
  <c r="AX679" i="1" s="1"/>
  <c r="AA679" i="1"/>
  <c r="AC679" i="1" s="1"/>
  <c r="V679" i="1"/>
  <c r="X679" i="1" s="1"/>
  <c r="BJ678" i="1"/>
  <c r="BI678" i="1"/>
  <c r="BH678" i="1"/>
  <c r="BE678" i="1"/>
  <c r="BM678" i="1" s="1"/>
  <c r="AJ678" i="1"/>
  <c r="AI678" i="1"/>
  <c r="AG678" i="1"/>
  <c r="AY678" i="1" s="1"/>
  <c r="AA678" i="1"/>
  <c r="V678" i="1"/>
  <c r="X678" i="1" s="1"/>
  <c r="BJ677" i="1"/>
  <c r="BI677" i="1"/>
  <c r="BH677" i="1"/>
  <c r="BE677" i="1"/>
  <c r="BM677" i="1" s="1"/>
  <c r="AV677" i="1"/>
  <c r="AJ677" i="1"/>
  <c r="AI677" i="1"/>
  <c r="AG677" i="1"/>
  <c r="AY677" i="1" s="1"/>
  <c r="AA677" i="1"/>
  <c r="AB677" i="1" s="1"/>
  <c r="V677" i="1"/>
  <c r="X677" i="1" s="1"/>
  <c r="BJ676" i="1"/>
  <c r="BI676" i="1"/>
  <c r="BH676" i="1"/>
  <c r="BE676" i="1"/>
  <c r="BM676" i="1" s="1"/>
  <c r="AV676" i="1"/>
  <c r="AJ676" i="1"/>
  <c r="AI676" i="1"/>
  <c r="AG676" i="1"/>
  <c r="AY676" i="1" s="1"/>
  <c r="AA676" i="1"/>
  <c r="AC676" i="1" s="1"/>
  <c r="V676" i="1"/>
  <c r="X676" i="1" s="1"/>
  <c r="BJ675" i="1"/>
  <c r="BI675" i="1"/>
  <c r="BH675" i="1"/>
  <c r="BE675" i="1"/>
  <c r="AV675" i="1"/>
  <c r="AJ675" i="1"/>
  <c r="AI675" i="1"/>
  <c r="AG675" i="1"/>
  <c r="AY675" i="1" s="1"/>
  <c r="AA675" i="1"/>
  <c r="V675" i="1"/>
  <c r="X675" i="1" s="1"/>
  <c r="BJ674" i="1"/>
  <c r="BI674" i="1"/>
  <c r="BH674" i="1"/>
  <c r="BE674" i="1"/>
  <c r="BM674" i="1" s="1"/>
  <c r="AV674" i="1"/>
  <c r="AJ674" i="1"/>
  <c r="AI674" i="1"/>
  <c r="AG674" i="1"/>
  <c r="AA674" i="1"/>
  <c r="AC674" i="1" s="1"/>
  <c r="V674" i="1"/>
  <c r="X674" i="1" s="1"/>
  <c r="BJ673" i="1"/>
  <c r="BI673" i="1"/>
  <c r="BH673" i="1"/>
  <c r="BE673" i="1"/>
  <c r="BM673" i="1" s="1"/>
  <c r="AJ673" i="1"/>
  <c r="AI673" i="1"/>
  <c r="AG673" i="1"/>
  <c r="AY673" i="1" s="1"/>
  <c r="AA673" i="1"/>
  <c r="V673" i="1"/>
  <c r="X673" i="1" s="1"/>
  <c r="BJ672" i="1"/>
  <c r="BI672" i="1"/>
  <c r="BH672" i="1"/>
  <c r="BE672" i="1"/>
  <c r="BM672" i="1" s="1"/>
  <c r="AJ672" i="1"/>
  <c r="AI672" i="1"/>
  <c r="AG672" i="1"/>
  <c r="AA672" i="1"/>
  <c r="V672" i="1"/>
  <c r="X672" i="1" s="1"/>
  <c r="BJ671" i="1"/>
  <c r="BI671" i="1"/>
  <c r="BH671" i="1"/>
  <c r="BE671" i="1"/>
  <c r="AJ671" i="1"/>
  <c r="AI671" i="1"/>
  <c r="AG671" i="1"/>
  <c r="AY671" i="1" s="1"/>
  <c r="AA671" i="1"/>
  <c r="AC671" i="1" s="1"/>
  <c r="V671" i="1"/>
  <c r="X671" i="1" s="1"/>
  <c r="BJ670" i="1"/>
  <c r="BI670" i="1"/>
  <c r="BH670" i="1"/>
  <c r="BE670" i="1"/>
  <c r="BM670" i="1" s="1"/>
  <c r="AV670" i="1"/>
  <c r="AJ670" i="1"/>
  <c r="AI670" i="1"/>
  <c r="AG670" i="1"/>
  <c r="AA670" i="1"/>
  <c r="AC670" i="1" s="1"/>
  <c r="V670" i="1"/>
  <c r="X670" i="1" s="1"/>
  <c r="BJ669" i="1"/>
  <c r="BI669" i="1"/>
  <c r="BH669" i="1"/>
  <c r="BE669" i="1"/>
  <c r="AV669" i="1"/>
  <c r="AJ669" i="1"/>
  <c r="AI669" i="1"/>
  <c r="AG669" i="1"/>
  <c r="AA669" i="1"/>
  <c r="AB669" i="1" s="1"/>
  <c r="V669" i="1"/>
  <c r="X669" i="1" s="1"/>
  <c r="BJ668" i="1"/>
  <c r="BI668" i="1"/>
  <c r="BH668" i="1"/>
  <c r="BE668" i="1"/>
  <c r="AV668" i="1"/>
  <c r="AJ668" i="1"/>
  <c r="AI668" i="1"/>
  <c r="AG668" i="1"/>
  <c r="AY668" i="1" s="1"/>
  <c r="AA668" i="1"/>
  <c r="AC668" i="1" s="1"/>
  <c r="V668" i="1"/>
  <c r="X668" i="1" s="1"/>
  <c r="BJ667" i="1"/>
  <c r="BI667" i="1"/>
  <c r="BH667" i="1"/>
  <c r="BE667" i="1"/>
  <c r="BM667" i="1" s="1"/>
  <c r="AV667" i="1"/>
  <c r="AJ667" i="1"/>
  <c r="AI667" i="1"/>
  <c r="AG667" i="1"/>
  <c r="AY667" i="1" s="1"/>
  <c r="AA667" i="1"/>
  <c r="AC667" i="1" s="1"/>
  <c r="V667" i="1"/>
  <c r="X667" i="1" s="1"/>
  <c r="BJ666" i="1"/>
  <c r="BI666" i="1"/>
  <c r="BH666" i="1"/>
  <c r="BE666" i="1"/>
  <c r="BM666" i="1" s="1"/>
  <c r="AV666" i="1"/>
  <c r="AJ666" i="1"/>
  <c r="AI666" i="1"/>
  <c r="AG666" i="1"/>
  <c r="AA666" i="1"/>
  <c r="V666" i="1"/>
  <c r="X666" i="1" s="1"/>
  <c r="BJ665" i="1"/>
  <c r="BI665" i="1"/>
  <c r="BH665" i="1"/>
  <c r="BE665" i="1"/>
  <c r="AV665" i="1"/>
  <c r="AJ665" i="1"/>
  <c r="AI665" i="1"/>
  <c r="AG665" i="1"/>
  <c r="AX665" i="1" s="1"/>
  <c r="AA665" i="1"/>
  <c r="AC665" i="1" s="1"/>
  <c r="V665" i="1"/>
  <c r="X665" i="1" s="1"/>
  <c r="BJ664" i="1"/>
  <c r="BI664" i="1"/>
  <c r="BH664" i="1"/>
  <c r="BE664" i="1"/>
  <c r="AV664" i="1"/>
  <c r="AJ664" i="1"/>
  <c r="AI664" i="1"/>
  <c r="AG664" i="1"/>
  <c r="AA664" i="1"/>
  <c r="AC664" i="1" s="1"/>
  <c r="V664" i="1"/>
  <c r="X664" i="1" s="1"/>
  <c r="BJ663" i="1"/>
  <c r="BI663" i="1"/>
  <c r="BH663" i="1"/>
  <c r="BE663" i="1"/>
  <c r="BM663" i="1" s="1"/>
  <c r="AJ663" i="1"/>
  <c r="AI663" i="1"/>
  <c r="AG663" i="1"/>
  <c r="AA663" i="1"/>
  <c r="V663" i="1"/>
  <c r="X663" i="1" s="1"/>
  <c r="BJ662" i="1"/>
  <c r="BI662" i="1"/>
  <c r="BH662" i="1"/>
  <c r="BE662" i="1"/>
  <c r="BM662" i="1" s="1"/>
  <c r="AV662" i="1"/>
  <c r="AJ662" i="1"/>
  <c r="AI662" i="1"/>
  <c r="AG662" i="1"/>
  <c r="AA662" i="1"/>
  <c r="AC662" i="1" s="1"/>
  <c r="V662" i="1"/>
  <c r="X662" i="1" s="1"/>
  <c r="BJ661" i="1"/>
  <c r="BI661" i="1"/>
  <c r="BH661" i="1"/>
  <c r="BE661" i="1"/>
  <c r="AV661" i="1"/>
  <c r="AJ661" i="1"/>
  <c r="AI661" i="1"/>
  <c r="AG661" i="1"/>
  <c r="AY661" i="1" s="1"/>
  <c r="AA661" i="1"/>
  <c r="AC661" i="1" s="1"/>
  <c r="V661" i="1"/>
  <c r="X661" i="1" s="1"/>
  <c r="AJ660" i="1"/>
  <c r="AI660" i="1"/>
  <c r="AG660" i="1"/>
  <c r="AA660" i="1"/>
  <c r="AC660" i="1" s="1"/>
  <c r="BJ659" i="1"/>
  <c r="BK659" i="1" s="1"/>
  <c r="BI659" i="1"/>
  <c r="BH659" i="1"/>
  <c r="BE659" i="1"/>
  <c r="BM659" i="1" s="1"/>
  <c r="AJ659" i="1"/>
  <c r="AI659" i="1"/>
  <c r="AG659" i="1"/>
  <c r="AA659" i="1"/>
  <c r="AB659" i="1" s="1"/>
  <c r="V659" i="1"/>
  <c r="X659" i="1" s="1"/>
  <c r="BJ658" i="1"/>
  <c r="BI658" i="1"/>
  <c r="BH658" i="1"/>
  <c r="BE658" i="1"/>
  <c r="AV658" i="1"/>
  <c r="AJ658" i="1"/>
  <c r="AO658" i="1" s="1"/>
  <c r="AI658" i="1"/>
  <c r="AG658" i="1"/>
  <c r="AY658" i="1" s="1"/>
  <c r="AA658" i="1"/>
  <c r="AC658" i="1" s="1"/>
  <c r="V658" i="1"/>
  <c r="X658" i="1" s="1"/>
  <c r="BJ657" i="1"/>
  <c r="BI657" i="1"/>
  <c r="BH657" i="1"/>
  <c r="BE657" i="1"/>
  <c r="BM657" i="1" s="1"/>
  <c r="AJ657" i="1"/>
  <c r="AI657" i="1"/>
  <c r="AG657" i="1"/>
  <c r="AY657" i="1" s="1"/>
  <c r="AA657" i="1"/>
  <c r="AC657" i="1" s="1"/>
  <c r="V657" i="1"/>
  <c r="X657" i="1" s="1"/>
  <c r="BJ656" i="1"/>
  <c r="BI656" i="1"/>
  <c r="BH656" i="1"/>
  <c r="BE656" i="1"/>
  <c r="BM656" i="1" s="1"/>
  <c r="AV656" i="1"/>
  <c r="AJ656" i="1"/>
  <c r="AI656" i="1"/>
  <c r="AG656" i="1"/>
  <c r="AA656" i="1"/>
  <c r="AC656" i="1" s="1"/>
  <c r="V656" i="1"/>
  <c r="X656" i="1" s="1"/>
  <c r="BJ655" i="1"/>
  <c r="BI655" i="1"/>
  <c r="BH655" i="1"/>
  <c r="BE655" i="1"/>
  <c r="BM655" i="1" s="1"/>
  <c r="AJ655" i="1"/>
  <c r="AI655" i="1"/>
  <c r="AG655" i="1"/>
  <c r="AA655" i="1"/>
  <c r="AB655" i="1" s="1"/>
  <c r="V655" i="1"/>
  <c r="X655" i="1" s="1"/>
  <c r="BJ654" i="1"/>
  <c r="BI654" i="1"/>
  <c r="BH654" i="1"/>
  <c r="BE654" i="1"/>
  <c r="AV654" i="1"/>
  <c r="AJ654" i="1"/>
  <c r="AI654" i="1"/>
  <c r="AG654" i="1"/>
  <c r="AA654" i="1"/>
  <c r="V654" i="1"/>
  <c r="X654" i="1" s="1"/>
  <c r="BJ653" i="1"/>
  <c r="BI653" i="1"/>
  <c r="BH653" i="1"/>
  <c r="BE653" i="1"/>
  <c r="BM653" i="1" s="1"/>
  <c r="AV653" i="1"/>
  <c r="AJ653" i="1"/>
  <c r="AI653" i="1"/>
  <c r="AG653" i="1"/>
  <c r="AY653" i="1" s="1"/>
  <c r="AA653" i="1"/>
  <c r="AC653" i="1" s="1"/>
  <c r="V653" i="1"/>
  <c r="X653" i="1" s="1"/>
  <c r="BJ652" i="1"/>
  <c r="BI652" i="1"/>
  <c r="BH652" i="1"/>
  <c r="BE652" i="1"/>
  <c r="AV652" i="1"/>
  <c r="AJ652" i="1"/>
  <c r="AI652" i="1"/>
  <c r="AG652" i="1"/>
  <c r="AA652" i="1"/>
  <c r="AC652" i="1" s="1"/>
  <c r="V652" i="1"/>
  <c r="X652" i="1" s="1"/>
  <c r="BJ651" i="1"/>
  <c r="BI651" i="1"/>
  <c r="BH651" i="1"/>
  <c r="BE651" i="1"/>
  <c r="AV651" i="1"/>
  <c r="AJ651" i="1"/>
  <c r="AO651" i="1" s="1"/>
  <c r="AI651" i="1"/>
  <c r="AG651" i="1"/>
  <c r="AA651" i="1"/>
  <c r="V651" i="1"/>
  <c r="X651" i="1" s="1"/>
  <c r="BJ650" i="1"/>
  <c r="BI650" i="1"/>
  <c r="BH650" i="1"/>
  <c r="BE650" i="1"/>
  <c r="AJ650" i="1"/>
  <c r="AI650" i="1"/>
  <c r="AG650" i="1"/>
  <c r="AA650" i="1"/>
  <c r="V650" i="1"/>
  <c r="X650" i="1" s="1"/>
  <c r="BJ649" i="1"/>
  <c r="BI649" i="1"/>
  <c r="BH649" i="1"/>
  <c r="BE649" i="1"/>
  <c r="BM649" i="1" s="1"/>
  <c r="AV649" i="1"/>
  <c r="AJ649" i="1"/>
  <c r="AI649" i="1"/>
  <c r="AG649" i="1"/>
  <c r="AA649" i="1"/>
  <c r="AB649" i="1" s="1"/>
  <c r="V649" i="1"/>
  <c r="X649" i="1" s="1"/>
  <c r="BJ648" i="1"/>
  <c r="BI648" i="1"/>
  <c r="BH648" i="1"/>
  <c r="BE648" i="1"/>
  <c r="AV648" i="1"/>
  <c r="AJ648" i="1"/>
  <c r="AI648" i="1"/>
  <c r="AG648" i="1"/>
  <c r="AA648" i="1"/>
  <c r="V648" i="1"/>
  <c r="X648" i="1" s="1"/>
  <c r="AJ647" i="1"/>
  <c r="AO647" i="1" s="1"/>
  <c r="AI647" i="1"/>
  <c r="AG647" i="1"/>
  <c r="AA647" i="1"/>
  <c r="BJ646" i="1"/>
  <c r="BI646" i="1"/>
  <c r="BH646" i="1"/>
  <c r="BE646" i="1"/>
  <c r="AJ646" i="1"/>
  <c r="AF646" i="1"/>
  <c r="AI646" i="1" s="1"/>
  <c r="AE646" i="1"/>
  <c r="AD646" i="1"/>
  <c r="AA646" i="1"/>
  <c r="V646" i="1"/>
  <c r="X646" i="1" s="1"/>
  <c r="BJ645" i="1"/>
  <c r="BI645" i="1"/>
  <c r="BH645" i="1"/>
  <c r="BE645" i="1"/>
  <c r="AJ645" i="1"/>
  <c r="AI645" i="1"/>
  <c r="AG645" i="1"/>
  <c r="AA645" i="1"/>
  <c r="AC645" i="1" s="1"/>
  <c r="V645" i="1"/>
  <c r="X645" i="1" s="1"/>
  <c r="BJ644" i="1"/>
  <c r="BI644" i="1"/>
  <c r="BH644" i="1"/>
  <c r="BE644" i="1"/>
  <c r="AJ644" i="1"/>
  <c r="AI644" i="1"/>
  <c r="AG644" i="1"/>
  <c r="AY644" i="1" s="1"/>
  <c r="AA644" i="1"/>
  <c r="AC644" i="1" s="1"/>
  <c r="V644" i="1"/>
  <c r="X644" i="1" s="1"/>
  <c r="BJ643" i="1"/>
  <c r="BI643" i="1"/>
  <c r="BH643" i="1"/>
  <c r="BE643" i="1"/>
  <c r="BM643" i="1" s="1"/>
  <c r="AJ643" i="1"/>
  <c r="AO643" i="1" s="1"/>
  <c r="AI643" i="1"/>
  <c r="AG643" i="1"/>
  <c r="AY643" i="1" s="1"/>
  <c r="AA643" i="1"/>
  <c r="AC643" i="1" s="1"/>
  <c r="V643" i="1"/>
  <c r="X643" i="1" s="1"/>
  <c r="BJ642" i="1"/>
  <c r="BI642" i="1"/>
  <c r="BH642" i="1"/>
  <c r="BE642" i="1"/>
  <c r="BM642" i="1" s="1"/>
  <c r="AV642" i="1"/>
  <c r="AJ642" i="1"/>
  <c r="AI642" i="1"/>
  <c r="AG642" i="1"/>
  <c r="AY642" i="1" s="1"/>
  <c r="AA642" i="1"/>
  <c r="AC642" i="1" s="1"/>
  <c r="V642" i="1"/>
  <c r="X642" i="1" s="1"/>
  <c r="BJ641" i="1"/>
  <c r="BI641" i="1"/>
  <c r="BH641" i="1"/>
  <c r="BE641" i="1"/>
  <c r="BM641" i="1" s="1"/>
  <c r="AV641" i="1"/>
  <c r="AJ641" i="1"/>
  <c r="AI641" i="1"/>
  <c r="AG641" i="1"/>
  <c r="AY641" i="1" s="1"/>
  <c r="AA641" i="1"/>
  <c r="AB641" i="1" s="1"/>
  <c r="V641" i="1"/>
  <c r="X641" i="1" s="1"/>
  <c r="BJ640" i="1"/>
  <c r="BI640" i="1"/>
  <c r="BH640" i="1"/>
  <c r="BE640" i="1"/>
  <c r="AV640" i="1"/>
  <c r="AJ640" i="1"/>
  <c r="AI640" i="1"/>
  <c r="AG640" i="1"/>
  <c r="AY640" i="1" s="1"/>
  <c r="AA640" i="1"/>
  <c r="AB640" i="1" s="1"/>
  <c r="V640" i="1"/>
  <c r="X640" i="1" s="1"/>
  <c r="BJ639" i="1"/>
  <c r="BI639" i="1"/>
  <c r="BH639" i="1"/>
  <c r="BE639" i="1"/>
  <c r="BM639" i="1" s="1"/>
  <c r="AV639" i="1"/>
  <c r="AJ639" i="1"/>
  <c r="AI639" i="1"/>
  <c r="AG639" i="1"/>
  <c r="AA639" i="1"/>
  <c r="AB639" i="1" s="1"/>
  <c r="V639" i="1"/>
  <c r="X639" i="1" s="1"/>
  <c r="BJ638" i="1"/>
  <c r="BI638" i="1"/>
  <c r="BH638" i="1"/>
  <c r="BE638" i="1"/>
  <c r="BM638" i="1" s="1"/>
  <c r="AV638" i="1"/>
  <c r="AJ638" i="1"/>
  <c r="AI638" i="1"/>
  <c r="AG638" i="1"/>
  <c r="AY638" i="1" s="1"/>
  <c r="AA638" i="1"/>
  <c r="AB638" i="1" s="1"/>
  <c r="V638" i="1"/>
  <c r="X638" i="1" s="1"/>
  <c r="BJ637" i="1"/>
  <c r="BI637" i="1"/>
  <c r="BH637" i="1"/>
  <c r="BE637" i="1"/>
  <c r="AV637" i="1"/>
  <c r="AJ637" i="1"/>
  <c r="AI637" i="1"/>
  <c r="AG637" i="1"/>
  <c r="AY637" i="1" s="1"/>
  <c r="AA637" i="1"/>
  <c r="AC637" i="1" s="1"/>
  <c r="V637" i="1"/>
  <c r="X637" i="1" s="1"/>
  <c r="AJ636" i="1"/>
  <c r="AI636" i="1"/>
  <c r="AG636" i="1"/>
  <c r="AA636" i="1"/>
  <c r="AC636" i="1" s="1"/>
  <c r="BJ635" i="1"/>
  <c r="BI635" i="1"/>
  <c r="BH635" i="1"/>
  <c r="BE635" i="1"/>
  <c r="BM635" i="1" s="1"/>
  <c r="AV635" i="1"/>
  <c r="AJ635" i="1"/>
  <c r="AF635" i="1"/>
  <c r="AE635" i="1"/>
  <c r="AD635" i="1"/>
  <c r="AA635" i="1"/>
  <c r="V635" i="1"/>
  <c r="X635" i="1" s="1"/>
  <c r="BJ634" i="1"/>
  <c r="BI634" i="1"/>
  <c r="BH634" i="1"/>
  <c r="BE634" i="1"/>
  <c r="BM634" i="1" s="1"/>
  <c r="AV634" i="1"/>
  <c r="AJ634" i="1"/>
  <c r="AI634" i="1"/>
  <c r="AG634" i="1"/>
  <c r="AA634" i="1"/>
  <c r="AC634" i="1" s="1"/>
  <c r="V634" i="1"/>
  <c r="X634" i="1" s="1"/>
  <c r="BJ633" i="1"/>
  <c r="BI633" i="1"/>
  <c r="BH633" i="1"/>
  <c r="BE633" i="1"/>
  <c r="BM633" i="1" s="1"/>
  <c r="AJ633" i="1"/>
  <c r="AI633" i="1"/>
  <c r="AG633" i="1"/>
  <c r="AA633" i="1"/>
  <c r="AC633" i="1" s="1"/>
  <c r="V633" i="1"/>
  <c r="X633" i="1" s="1"/>
  <c r="BJ632" i="1"/>
  <c r="BI632" i="1"/>
  <c r="BH632" i="1"/>
  <c r="BE632" i="1"/>
  <c r="AJ632" i="1"/>
  <c r="AI632" i="1"/>
  <c r="AG632" i="1"/>
  <c r="AY632" i="1" s="1"/>
  <c r="AA632" i="1"/>
  <c r="AC632" i="1" s="1"/>
  <c r="V632" i="1"/>
  <c r="X632" i="1" s="1"/>
  <c r="BJ631" i="1"/>
  <c r="BI631" i="1"/>
  <c r="BH631" i="1"/>
  <c r="BE631" i="1"/>
  <c r="BM631" i="1" s="1"/>
  <c r="AV631" i="1"/>
  <c r="AJ631" i="1"/>
  <c r="AI631" i="1"/>
  <c r="AG631" i="1"/>
  <c r="AY631" i="1" s="1"/>
  <c r="AA631" i="1"/>
  <c r="AB631" i="1" s="1"/>
  <c r="V631" i="1"/>
  <c r="X631" i="1" s="1"/>
  <c r="BJ630" i="1"/>
  <c r="BI630" i="1"/>
  <c r="BH630" i="1"/>
  <c r="BE630" i="1"/>
  <c r="BM630" i="1" s="1"/>
  <c r="AV630" i="1"/>
  <c r="AJ630" i="1"/>
  <c r="AI630" i="1"/>
  <c r="AG630" i="1"/>
  <c r="AA630" i="1"/>
  <c r="AC630" i="1" s="1"/>
  <c r="V630" i="1"/>
  <c r="X630" i="1" s="1"/>
  <c r="BJ629" i="1"/>
  <c r="BI629" i="1"/>
  <c r="BH629" i="1"/>
  <c r="BE629" i="1"/>
  <c r="AV629" i="1"/>
  <c r="AJ629" i="1"/>
  <c r="AI629" i="1"/>
  <c r="AG629" i="1"/>
  <c r="AY629" i="1" s="1"/>
  <c r="AA629" i="1"/>
  <c r="AC629" i="1" s="1"/>
  <c r="V629" i="1"/>
  <c r="X629" i="1" s="1"/>
  <c r="BJ628" i="1"/>
  <c r="BI628" i="1"/>
  <c r="BH628" i="1"/>
  <c r="BE628" i="1"/>
  <c r="BM628" i="1" s="1"/>
  <c r="AV628" i="1"/>
  <c r="AJ628" i="1"/>
  <c r="AI628" i="1"/>
  <c r="AG628" i="1"/>
  <c r="AY628" i="1" s="1"/>
  <c r="AA628" i="1"/>
  <c r="AB628" i="1" s="1"/>
  <c r="V628" i="1"/>
  <c r="X628" i="1" s="1"/>
  <c r="AJ627" i="1"/>
  <c r="AO627" i="1" s="1"/>
  <c r="AI627" i="1"/>
  <c r="AG627" i="1"/>
  <c r="AA627" i="1"/>
  <c r="AC627" i="1" s="1"/>
  <c r="BJ626" i="1"/>
  <c r="BI626" i="1"/>
  <c r="BH626" i="1"/>
  <c r="BE626" i="1"/>
  <c r="AV626" i="1"/>
  <c r="AJ626" i="1"/>
  <c r="AF626" i="1"/>
  <c r="AI626" i="1" s="1"/>
  <c r="AE626" i="1"/>
  <c r="AD626" i="1"/>
  <c r="AA626" i="1"/>
  <c r="V626" i="1"/>
  <c r="X626" i="1" s="1"/>
  <c r="BJ625" i="1"/>
  <c r="BI625" i="1"/>
  <c r="BH625" i="1"/>
  <c r="BE625" i="1"/>
  <c r="AV625" i="1"/>
  <c r="AJ625" i="1"/>
  <c r="AI625" i="1"/>
  <c r="AG625" i="1"/>
  <c r="AY625" i="1" s="1"/>
  <c r="AA625" i="1"/>
  <c r="V625" i="1"/>
  <c r="X625" i="1" s="1"/>
  <c r="BJ624" i="1"/>
  <c r="BI624" i="1"/>
  <c r="BH624" i="1"/>
  <c r="BE624" i="1"/>
  <c r="AJ624" i="1"/>
  <c r="AO624" i="1" s="1"/>
  <c r="AI624" i="1"/>
  <c r="AG624" i="1"/>
  <c r="AY624" i="1" s="1"/>
  <c r="AA624" i="1"/>
  <c r="AC624" i="1" s="1"/>
  <c r="V624" i="1"/>
  <c r="X624" i="1" s="1"/>
  <c r="BJ623" i="1"/>
  <c r="BI623" i="1"/>
  <c r="BH623" i="1"/>
  <c r="BE623" i="1"/>
  <c r="BM623" i="1" s="1"/>
  <c r="AV623" i="1"/>
  <c r="AJ623" i="1"/>
  <c r="AI623" i="1"/>
  <c r="AG623" i="1"/>
  <c r="AA623" i="1"/>
  <c r="V623" i="1"/>
  <c r="X623" i="1" s="1"/>
  <c r="BJ622" i="1"/>
  <c r="BI622" i="1"/>
  <c r="BH622" i="1"/>
  <c r="BE622" i="1"/>
  <c r="AJ622" i="1"/>
  <c r="AO622" i="1" s="1"/>
  <c r="AI622" i="1"/>
  <c r="AG622" i="1"/>
  <c r="AA622" i="1"/>
  <c r="V622" i="1"/>
  <c r="X622" i="1" s="1"/>
  <c r="BJ621" i="1"/>
  <c r="BI621" i="1"/>
  <c r="BH621" i="1"/>
  <c r="BE621" i="1"/>
  <c r="AJ621" i="1"/>
  <c r="AI621" i="1"/>
  <c r="AG621" i="1"/>
  <c r="AY621" i="1" s="1"/>
  <c r="AA621" i="1"/>
  <c r="AB621" i="1" s="1"/>
  <c r="V621" i="1"/>
  <c r="X621" i="1" s="1"/>
  <c r="BJ620" i="1"/>
  <c r="BI620" i="1"/>
  <c r="BH620" i="1"/>
  <c r="BE620" i="1"/>
  <c r="BM620" i="1" s="1"/>
  <c r="AV620" i="1"/>
  <c r="AJ620" i="1"/>
  <c r="AI620" i="1"/>
  <c r="AG620" i="1"/>
  <c r="AA620" i="1"/>
  <c r="V620" i="1"/>
  <c r="X620" i="1" s="1"/>
  <c r="BJ619" i="1"/>
  <c r="BI619" i="1"/>
  <c r="BH619" i="1"/>
  <c r="BE619" i="1"/>
  <c r="AV619" i="1"/>
  <c r="AJ619" i="1"/>
  <c r="AI619" i="1"/>
  <c r="AG619" i="1"/>
  <c r="AA619" i="1"/>
  <c r="AC619" i="1" s="1"/>
  <c r="V619" i="1"/>
  <c r="X619" i="1" s="1"/>
  <c r="BJ618" i="1"/>
  <c r="BI618" i="1"/>
  <c r="BH618" i="1"/>
  <c r="BE618" i="1"/>
  <c r="BM618" i="1" s="1"/>
  <c r="AJ618" i="1"/>
  <c r="AO618" i="1" s="1"/>
  <c r="AI618" i="1"/>
  <c r="AG618" i="1"/>
  <c r="AY618" i="1" s="1"/>
  <c r="AA618" i="1"/>
  <c r="AC618" i="1" s="1"/>
  <c r="V618" i="1"/>
  <c r="X618" i="1" s="1"/>
  <c r="BJ617" i="1"/>
  <c r="BI617" i="1"/>
  <c r="BH617" i="1"/>
  <c r="BE617" i="1"/>
  <c r="BM617" i="1" s="1"/>
  <c r="AJ617" i="1"/>
  <c r="AI617" i="1"/>
  <c r="AG617" i="1"/>
  <c r="AA617" i="1"/>
  <c r="AC617" i="1" s="1"/>
  <c r="V617" i="1"/>
  <c r="X617" i="1" s="1"/>
  <c r="BJ616" i="1"/>
  <c r="BI616" i="1"/>
  <c r="BH616" i="1"/>
  <c r="BE616" i="1"/>
  <c r="BM616" i="1" s="1"/>
  <c r="AJ616" i="1"/>
  <c r="AI616" i="1"/>
  <c r="AG616" i="1"/>
  <c r="AY616" i="1" s="1"/>
  <c r="AA616" i="1"/>
  <c r="AC616" i="1" s="1"/>
  <c r="V616" i="1"/>
  <c r="X616" i="1" s="1"/>
  <c r="BJ615" i="1"/>
  <c r="BI615" i="1"/>
  <c r="BH615" i="1"/>
  <c r="BE615" i="1"/>
  <c r="BM615" i="1" s="1"/>
  <c r="AV615" i="1"/>
  <c r="AJ615" i="1"/>
  <c r="AI615" i="1"/>
  <c r="AG615" i="1"/>
  <c r="AA615" i="1"/>
  <c r="AC615" i="1" s="1"/>
  <c r="V615" i="1"/>
  <c r="X615" i="1" s="1"/>
  <c r="BJ614" i="1"/>
  <c r="BI614" i="1"/>
  <c r="BH614" i="1"/>
  <c r="BE614" i="1"/>
  <c r="AV614" i="1"/>
  <c r="AJ614" i="1"/>
  <c r="AO614" i="1" s="1"/>
  <c r="AI614" i="1"/>
  <c r="AG614" i="1"/>
  <c r="AY614" i="1" s="1"/>
  <c r="AA614" i="1"/>
  <c r="AB614" i="1" s="1"/>
  <c r="V614" i="1"/>
  <c r="X614" i="1" s="1"/>
  <c r="BJ613" i="1"/>
  <c r="BI613" i="1"/>
  <c r="BH613" i="1"/>
  <c r="BE613" i="1"/>
  <c r="AV613" i="1"/>
  <c r="AJ613" i="1"/>
  <c r="AI613" i="1"/>
  <c r="AG613" i="1"/>
  <c r="AY613" i="1" s="1"/>
  <c r="AA613" i="1"/>
  <c r="AC613" i="1" s="1"/>
  <c r="V613" i="1"/>
  <c r="X613" i="1" s="1"/>
  <c r="BJ612" i="1"/>
  <c r="BI612" i="1"/>
  <c r="BH612" i="1"/>
  <c r="BE612" i="1"/>
  <c r="BM612" i="1" s="1"/>
  <c r="AJ612" i="1"/>
  <c r="AI612" i="1"/>
  <c r="AG612" i="1"/>
  <c r="AA612" i="1"/>
  <c r="AB612" i="1" s="1"/>
  <c r="V612" i="1"/>
  <c r="X612" i="1" s="1"/>
  <c r="BJ611" i="1"/>
  <c r="BI611" i="1"/>
  <c r="BH611" i="1"/>
  <c r="BE611" i="1"/>
  <c r="AJ611" i="1"/>
  <c r="AI611" i="1"/>
  <c r="AG611" i="1"/>
  <c r="AX611" i="1" s="1"/>
  <c r="AA611" i="1"/>
  <c r="V611" i="1"/>
  <c r="X611" i="1" s="1"/>
  <c r="BJ610" i="1"/>
  <c r="BI610" i="1"/>
  <c r="BH610" i="1"/>
  <c r="BE610" i="1"/>
  <c r="BM610" i="1" s="1"/>
  <c r="AJ610" i="1"/>
  <c r="AI610" i="1"/>
  <c r="AG610" i="1"/>
  <c r="AY610" i="1" s="1"/>
  <c r="AA610" i="1"/>
  <c r="AC610" i="1" s="1"/>
  <c r="V610" i="1"/>
  <c r="X610" i="1" s="1"/>
  <c r="BJ609" i="1"/>
  <c r="BI609" i="1"/>
  <c r="BH609" i="1"/>
  <c r="BE609" i="1"/>
  <c r="BM609" i="1" s="1"/>
  <c r="AJ609" i="1"/>
  <c r="AI609" i="1"/>
  <c r="AG609" i="1"/>
  <c r="AY609" i="1" s="1"/>
  <c r="AA609" i="1"/>
  <c r="V609" i="1"/>
  <c r="X609" i="1" s="1"/>
  <c r="BJ608" i="1"/>
  <c r="BI608" i="1"/>
  <c r="BH608" i="1"/>
  <c r="BE608" i="1"/>
  <c r="AV608" i="1"/>
  <c r="AJ608" i="1"/>
  <c r="AI608" i="1"/>
  <c r="AG608" i="1"/>
  <c r="AA608" i="1"/>
  <c r="AC608" i="1" s="1"/>
  <c r="V608" i="1"/>
  <c r="X608" i="1" s="1"/>
  <c r="BJ607" i="1"/>
  <c r="BI607" i="1"/>
  <c r="BH607" i="1"/>
  <c r="BE607" i="1"/>
  <c r="BM607" i="1" s="1"/>
  <c r="AJ607" i="1"/>
  <c r="AI607" i="1"/>
  <c r="AG607" i="1"/>
  <c r="AA607" i="1"/>
  <c r="AB607" i="1" s="1"/>
  <c r="V607" i="1"/>
  <c r="X607" i="1" s="1"/>
  <c r="BJ606" i="1"/>
  <c r="BI606" i="1"/>
  <c r="BH606" i="1"/>
  <c r="BE606" i="1"/>
  <c r="AJ606" i="1"/>
  <c r="AO606" i="1" s="1"/>
  <c r="AI606" i="1"/>
  <c r="AG606" i="1"/>
  <c r="AX606" i="1" s="1"/>
  <c r="AA606" i="1"/>
  <c r="AC606" i="1" s="1"/>
  <c r="V606" i="1"/>
  <c r="X606" i="1" s="1"/>
  <c r="BJ605" i="1"/>
  <c r="BI605" i="1"/>
  <c r="BH605" i="1"/>
  <c r="BE605" i="1"/>
  <c r="AJ605" i="1"/>
  <c r="AI605" i="1"/>
  <c r="AG605" i="1"/>
  <c r="AY605" i="1" s="1"/>
  <c r="AA605" i="1"/>
  <c r="AB605" i="1" s="1"/>
  <c r="V605" i="1"/>
  <c r="X605" i="1" s="1"/>
  <c r="AJ604" i="1"/>
  <c r="AI604" i="1"/>
  <c r="AG604" i="1"/>
  <c r="AA604" i="1"/>
  <c r="AB604" i="1" s="1"/>
  <c r="BJ603" i="1"/>
  <c r="BI603" i="1"/>
  <c r="BH603" i="1"/>
  <c r="BE603" i="1"/>
  <c r="AJ603" i="1"/>
  <c r="AF603" i="1"/>
  <c r="AI603" i="1" s="1"/>
  <c r="AE603" i="1"/>
  <c r="AD603" i="1"/>
  <c r="AA603" i="1"/>
  <c r="V603" i="1"/>
  <c r="X603" i="1" s="1"/>
  <c r="BJ602" i="1"/>
  <c r="BI602" i="1"/>
  <c r="BH602" i="1"/>
  <c r="BE602" i="1"/>
  <c r="BM602" i="1" s="1"/>
  <c r="AV602" i="1"/>
  <c r="AJ602" i="1"/>
  <c r="AO602" i="1" s="1"/>
  <c r="AI602" i="1"/>
  <c r="AG602" i="1"/>
  <c r="AY602" i="1" s="1"/>
  <c r="AA602" i="1"/>
  <c r="AC602" i="1" s="1"/>
  <c r="V602" i="1"/>
  <c r="X602" i="1" s="1"/>
  <c r="BJ601" i="1"/>
  <c r="BI601" i="1"/>
  <c r="BH601" i="1"/>
  <c r="BE601" i="1"/>
  <c r="AV601" i="1"/>
  <c r="AJ601" i="1"/>
  <c r="AI601" i="1"/>
  <c r="AG601" i="1"/>
  <c r="AY601" i="1" s="1"/>
  <c r="AA601" i="1"/>
  <c r="AC601" i="1" s="1"/>
  <c r="V601" i="1"/>
  <c r="X601" i="1" s="1"/>
  <c r="AJ600" i="1"/>
  <c r="AO600" i="1" s="1"/>
  <c r="AI600" i="1"/>
  <c r="AG600" i="1"/>
  <c r="AA600" i="1"/>
  <c r="AC600" i="1" s="1"/>
  <c r="BJ599" i="1"/>
  <c r="BI599" i="1"/>
  <c r="BH599" i="1"/>
  <c r="BE599" i="1"/>
  <c r="AJ599" i="1"/>
  <c r="AF599" i="1"/>
  <c r="AE599" i="1"/>
  <c r="AD599" i="1"/>
  <c r="AA599" i="1"/>
  <c r="V599" i="1"/>
  <c r="X599" i="1" s="1"/>
  <c r="BJ598" i="1"/>
  <c r="BI598" i="1"/>
  <c r="BH598" i="1"/>
  <c r="BE598" i="1"/>
  <c r="AJ598" i="1"/>
  <c r="AI598" i="1"/>
  <c r="AG598" i="1"/>
  <c r="AA598" i="1"/>
  <c r="AC598" i="1" s="1"/>
  <c r="V598" i="1"/>
  <c r="X598" i="1" s="1"/>
  <c r="BJ597" i="1"/>
  <c r="BI597" i="1"/>
  <c r="BH597" i="1"/>
  <c r="BE597" i="1"/>
  <c r="BM597" i="1" s="1"/>
  <c r="AV597" i="1"/>
  <c r="AJ597" i="1"/>
  <c r="AO597" i="1" s="1"/>
  <c r="AI597" i="1"/>
  <c r="AG597" i="1"/>
  <c r="AY597" i="1" s="1"/>
  <c r="AA597" i="1"/>
  <c r="AB597" i="1" s="1"/>
  <c r="V597" i="1"/>
  <c r="X597" i="1" s="1"/>
  <c r="BJ596" i="1"/>
  <c r="BI596" i="1"/>
  <c r="BH596" i="1"/>
  <c r="BE596" i="1"/>
  <c r="BM596" i="1" s="1"/>
  <c r="AV596" i="1"/>
  <c r="AJ596" i="1"/>
  <c r="AI596" i="1"/>
  <c r="AG596" i="1"/>
  <c r="AA596" i="1"/>
  <c r="AC596" i="1" s="1"/>
  <c r="V596" i="1"/>
  <c r="X596" i="1" s="1"/>
  <c r="BJ595" i="1"/>
  <c r="BI595" i="1"/>
  <c r="BH595" i="1"/>
  <c r="BE595" i="1"/>
  <c r="AV595" i="1"/>
  <c r="AJ595" i="1"/>
  <c r="AI595" i="1"/>
  <c r="AG595" i="1"/>
  <c r="AA595" i="1"/>
  <c r="AC595" i="1" s="1"/>
  <c r="V595" i="1"/>
  <c r="X595" i="1" s="1"/>
  <c r="BJ594" i="1"/>
  <c r="BI594" i="1"/>
  <c r="BH594" i="1"/>
  <c r="BE594" i="1"/>
  <c r="BM594" i="1" s="1"/>
  <c r="AJ594" i="1"/>
  <c r="AI594" i="1"/>
  <c r="AG594" i="1"/>
  <c r="AY594" i="1" s="1"/>
  <c r="AA594" i="1"/>
  <c r="AB594" i="1" s="1"/>
  <c r="V594" i="1"/>
  <c r="X594" i="1" s="1"/>
  <c r="BJ593" i="1"/>
  <c r="BI593" i="1"/>
  <c r="BH593" i="1"/>
  <c r="BE593" i="1"/>
  <c r="BM593" i="1" s="1"/>
  <c r="AV593" i="1"/>
  <c r="AJ593" i="1"/>
  <c r="AO593" i="1" s="1"/>
  <c r="AI593" i="1"/>
  <c r="AG593" i="1"/>
  <c r="AA593" i="1"/>
  <c r="AC593" i="1" s="1"/>
  <c r="V593" i="1"/>
  <c r="X593" i="1" s="1"/>
  <c r="BJ592" i="1"/>
  <c r="BI592" i="1"/>
  <c r="BH592" i="1"/>
  <c r="BE592" i="1"/>
  <c r="AJ592" i="1"/>
  <c r="AI592" i="1"/>
  <c r="AG592" i="1"/>
  <c r="AA592" i="1"/>
  <c r="AC592" i="1" s="1"/>
  <c r="V592" i="1"/>
  <c r="X592" i="1" s="1"/>
  <c r="BJ591" i="1"/>
  <c r="BI591" i="1"/>
  <c r="BH591" i="1"/>
  <c r="BE591" i="1"/>
  <c r="BM591" i="1" s="1"/>
  <c r="AJ591" i="1"/>
  <c r="AI591" i="1"/>
  <c r="AG591" i="1"/>
  <c r="AA591" i="1"/>
  <c r="AC591" i="1" s="1"/>
  <c r="V591" i="1"/>
  <c r="X591" i="1" s="1"/>
  <c r="BJ590" i="1"/>
  <c r="BI590" i="1"/>
  <c r="BH590" i="1"/>
  <c r="BE590" i="1"/>
  <c r="AJ590" i="1"/>
  <c r="AI590" i="1"/>
  <c r="AG590" i="1"/>
  <c r="AY590" i="1" s="1"/>
  <c r="AA590" i="1"/>
  <c r="V590" i="1"/>
  <c r="X590" i="1" s="1"/>
  <c r="BJ589" i="1"/>
  <c r="BI589" i="1"/>
  <c r="BH589" i="1"/>
  <c r="BE589" i="1"/>
  <c r="BM589" i="1" s="1"/>
  <c r="AV589" i="1"/>
  <c r="AJ589" i="1"/>
  <c r="AI589" i="1"/>
  <c r="AG589" i="1"/>
  <c r="AY589" i="1" s="1"/>
  <c r="AA589" i="1"/>
  <c r="AC589" i="1" s="1"/>
  <c r="V589" i="1"/>
  <c r="X589" i="1" s="1"/>
  <c r="BJ588" i="1"/>
  <c r="BI588" i="1"/>
  <c r="BH588" i="1"/>
  <c r="BE588" i="1"/>
  <c r="AV588" i="1"/>
  <c r="AJ588" i="1"/>
  <c r="AO588" i="1" s="1"/>
  <c r="AI588" i="1"/>
  <c r="AG588" i="1"/>
  <c r="AA588" i="1"/>
  <c r="AC588" i="1" s="1"/>
  <c r="V588" i="1"/>
  <c r="X588" i="1" s="1"/>
  <c r="BJ587" i="1"/>
  <c r="BI587" i="1"/>
  <c r="BH587" i="1"/>
  <c r="BE587" i="1"/>
  <c r="AJ587" i="1"/>
  <c r="AI587" i="1"/>
  <c r="AG587" i="1"/>
  <c r="AY587" i="1" s="1"/>
  <c r="AA587" i="1"/>
  <c r="V587" i="1"/>
  <c r="X587" i="1" s="1"/>
  <c r="BJ586" i="1"/>
  <c r="BI586" i="1"/>
  <c r="BH586" i="1"/>
  <c r="BE586" i="1"/>
  <c r="BM586" i="1" s="1"/>
  <c r="AV586" i="1"/>
  <c r="AJ586" i="1"/>
  <c r="AI586" i="1"/>
  <c r="AG586" i="1"/>
  <c r="AY586" i="1" s="1"/>
  <c r="AA586" i="1"/>
  <c r="AC586" i="1" s="1"/>
  <c r="V586" i="1"/>
  <c r="X586" i="1" s="1"/>
  <c r="BJ585" i="1"/>
  <c r="BI585" i="1"/>
  <c r="BH585" i="1"/>
  <c r="BE585" i="1"/>
  <c r="AV585" i="1"/>
  <c r="AJ585" i="1"/>
  <c r="AI585" i="1"/>
  <c r="AG585" i="1"/>
  <c r="AA585" i="1"/>
  <c r="V585" i="1"/>
  <c r="X585" i="1" s="1"/>
  <c r="BJ584" i="1"/>
  <c r="BI584" i="1"/>
  <c r="BH584" i="1"/>
  <c r="BE584" i="1"/>
  <c r="AV584" i="1"/>
  <c r="AJ584" i="1"/>
  <c r="AI584" i="1"/>
  <c r="AG584" i="1"/>
  <c r="AA584" i="1"/>
  <c r="V584" i="1"/>
  <c r="X584" i="1" s="1"/>
  <c r="BJ583" i="1"/>
  <c r="BI583" i="1"/>
  <c r="BH583" i="1"/>
  <c r="BE583" i="1"/>
  <c r="BM583" i="1" s="1"/>
  <c r="AJ583" i="1"/>
  <c r="AI583" i="1"/>
  <c r="AG583" i="1"/>
  <c r="AA583" i="1"/>
  <c r="AC583" i="1" s="1"/>
  <c r="V583" i="1"/>
  <c r="X583" i="1" s="1"/>
  <c r="BJ582" i="1"/>
  <c r="BI582" i="1"/>
  <c r="BH582" i="1"/>
  <c r="BE582" i="1"/>
  <c r="BM582" i="1" s="1"/>
  <c r="AV582" i="1"/>
  <c r="AJ582" i="1"/>
  <c r="AO582" i="1" s="1"/>
  <c r="AI582" i="1"/>
  <c r="AG582" i="1"/>
  <c r="AA582" i="1"/>
  <c r="AC582" i="1" s="1"/>
  <c r="V582" i="1"/>
  <c r="X582" i="1" s="1"/>
  <c r="BJ581" i="1"/>
  <c r="BI581" i="1"/>
  <c r="BH581" i="1"/>
  <c r="BE581" i="1"/>
  <c r="AV581" i="1"/>
  <c r="AJ581" i="1"/>
  <c r="AI581" i="1"/>
  <c r="AG581" i="1"/>
  <c r="AX581" i="1" s="1"/>
  <c r="AA581" i="1"/>
  <c r="V581" i="1"/>
  <c r="X581" i="1" s="1"/>
  <c r="BJ580" i="1"/>
  <c r="BI580" i="1"/>
  <c r="BH580" i="1"/>
  <c r="BE580" i="1"/>
  <c r="BM580" i="1" s="1"/>
  <c r="AV580" i="1"/>
  <c r="AJ580" i="1"/>
  <c r="AI580" i="1"/>
  <c r="AG580" i="1"/>
  <c r="AY580" i="1" s="1"/>
  <c r="AA580" i="1"/>
  <c r="AC580" i="1" s="1"/>
  <c r="V580" i="1"/>
  <c r="X580" i="1" s="1"/>
  <c r="BJ579" i="1"/>
  <c r="BI579" i="1"/>
  <c r="BH579" i="1"/>
  <c r="BE579" i="1"/>
  <c r="BM579" i="1" s="1"/>
  <c r="AV579" i="1"/>
  <c r="AJ579" i="1"/>
  <c r="AI579" i="1"/>
  <c r="AG579" i="1"/>
  <c r="AA579" i="1"/>
  <c r="AB579" i="1" s="1"/>
  <c r="V579" i="1"/>
  <c r="X579" i="1" s="1"/>
  <c r="BJ578" i="1"/>
  <c r="BI578" i="1"/>
  <c r="BH578" i="1"/>
  <c r="BE578" i="1"/>
  <c r="AV578" i="1"/>
  <c r="AJ578" i="1"/>
  <c r="AI578" i="1"/>
  <c r="AG578" i="1"/>
  <c r="AY578" i="1" s="1"/>
  <c r="AA578" i="1"/>
  <c r="V578" i="1"/>
  <c r="X578" i="1" s="1"/>
  <c r="BJ577" i="1"/>
  <c r="BI577" i="1"/>
  <c r="BH577" i="1"/>
  <c r="BE577" i="1"/>
  <c r="BM577" i="1" s="1"/>
  <c r="AV577" i="1"/>
  <c r="AJ577" i="1"/>
  <c r="AI577" i="1"/>
  <c r="AG577" i="1"/>
  <c r="AY577" i="1" s="1"/>
  <c r="AA577" i="1"/>
  <c r="AC577" i="1" s="1"/>
  <c r="V577" i="1"/>
  <c r="X577" i="1" s="1"/>
  <c r="BJ576" i="1"/>
  <c r="BI576" i="1"/>
  <c r="BH576" i="1"/>
  <c r="BE576" i="1"/>
  <c r="BM576" i="1" s="1"/>
  <c r="AV576" i="1"/>
  <c r="AJ576" i="1"/>
  <c r="AI576" i="1"/>
  <c r="AG576" i="1"/>
  <c r="AA576" i="1"/>
  <c r="AC576" i="1" s="1"/>
  <c r="V576" i="1"/>
  <c r="X576" i="1" s="1"/>
  <c r="AV575" i="1"/>
  <c r="AJ575" i="1"/>
  <c r="AI575" i="1"/>
  <c r="AG575" i="1"/>
  <c r="AY575" i="1" s="1"/>
  <c r="AA575" i="1"/>
  <c r="AB575" i="1" s="1"/>
  <c r="V575" i="1"/>
  <c r="X575" i="1" s="1"/>
  <c r="BJ574" i="1"/>
  <c r="BI574" i="1"/>
  <c r="BH574" i="1"/>
  <c r="BE574" i="1"/>
  <c r="BM574" i="1" s="1"/>
  <c r="AV574" i="1"/>
  <c r="AJ574" i="1"/>
  <c r="AI574" i="1"/>
  <c r="AG574" i="1"/>
  <c r="AX574" i="1" s="1"/>
  <c r="AA574" i="1"/>
  <c r="AC574" i="1" s="1"/>
  <c r="V574" i="1"/>
  <c r="X574" i="1" s="1"/>
  <c r="AJ573" i="1"/>
  <c r="AI573" i="1"/>
  <c r="AG573" i="1"/>
  <c r="AA573" i="1"/>
  <c r="AV572" i="1"/>
  <c r="AJ572" i="1"/>
  <c r="AF572" i="1"/>
  <c r="AI572" i="1" s="1"/>
  <c r="AE572" i="1"/>
  <c r="AD572" i="1"/>
  <c r="AA572" i="1"/>
  <c r="V572" i="1"/>
  <c r="X572" i="1" s="1"/>
  <c r="AV571" i="1"/>
  <c r="AJ571" i="1"/>
  <c r="AI571" i="1"/>
  <c r="AG571" i="1"/>
  <c r="AA571" i="1"/>
  <c r="V571" i="1"/>
  <c r="X571" i="1" s="1"/>
  <c r="BJ570" i="1"/>
  <c r="BI570" i="1"/>
  <c r="BH570" i="1"/>
  <c r="BE570" i="1"/>
  <c r="AV570" i="1"/>
  <c r="AJ570" i="1"/>
  <c r="AI570" i="1"/>
  <c r="AG570" i="1"/>
  <c r="AA570" i="1"/>
  <c r="V570" i="1"/>
  <c r="X570" i="1" s="1"/>
  <c r="BJ569" i="1"/>
  <c r="BI569" i="1"/>
  <c r="BH569" i="1"/>
  <c r="BE569" i="1"/>
  <c r="AV569" i="1"/>
  <c r="AJ569" i="1"/>
  <c r="AI569" i="1"/>
  <c r="AG569" i="1"/>
  <c r="AY569" i="1" s="1"/>
  <c r="AA569" i="1"/>
  <c r="AC569" i="1" s="1"/>
  <c r="V569" i="1"/>
  <c r="X569" i="1" s="1"/>
  <c r="BJ568" i="1"/>
  <c r="BI568" i="1"/>
  <c r="BH568" i="1"/>
  <c r="BE568" i="1"/>
  <c r="BM568" i="1" s="1"/>
  <c r="AJ568" i="1"/>
  <c r="AI568" i="1"/>
  <c r="AG568" i="1"/>
  <c r="AY568" i="1" s="1"/>
  <c r="AA568" i="1"/>
  <c r="AB568" i="1" s="1"/>
  <c r="V568" i="1"/>
  <c r="X568" i="1" s="1"/>
  <c r="BJ567" i="1"/>
  <c r="BI567" i="1"/>
  <c r="BH567" i="1"/>
  <c r="BE567" i="1"/>
  <c r="AV567" i="1"/>
  <c r="AJ567" i="1"/>
  <c r="AI567" i="1"/>
  <c r="AG567" i="1"/>
  <c r="AX567" i="1" s="1"/>
  <c r="AA567" i="1"/>
  <c r="AB567" i="1" s="1"/>
  <c r="V567" i="1"/>
  <c r="X567" i="1" s="1"/>
  <c r="BJ566" i="1"/>
  <c r="BI566" i="1"/>
  <c r="BH566" i="1"/>
  <c r="BE566" i="1"/>
  <c r="BM566" i="1" s="1"/>
  <c r="AJ566" i="1"/>
  <c r="AI566" i="1"/>
  <c r="AG566" i="1"/>
  <c r="AA566" i="1"/>
  <c r="AC566" i="1" s="1"/>
  <c r="V566" i="1"/>
  <c r="X566" i="1" s="1"/>
  <c r="AJ565" i="1"/>
  <c r="AI565" i="1"/>
  <c r="AG565" i="1"/>
  <c r="AA565" i="1"/>
  <c r="AC565" i="1" s="1"/>
  <c r="BJ564" i="1"/>
  <c r="BI564" i="1"/>
  <c r="BH564" i="1"/>
  <c r="BE564" i="1"/>
  <c r="AV564" i="1"/>
  <c r="AJ564" i="1"/>
  <c r="AI564" i="1"/>
  <c r="AG564" i="1"/>
  <c r="AA564" i="1"/>
  <c r="AC564" i="1" s="1"/>
  <c r="V564" i="1"/>
  <c r="X564" i="1" s="1"/>
  <c r="BJ563" i="1"/>
  <c r="BI563" i="1"/>
  <c r="BH563" i="1"/>
  <c r="BE563" i="1"/>
  <c r="AV563" i="1"/>
  <c r="AJ563" i="1"/>
  <c r="AI563" i="1"/>
  <c r="AG563" i="1"/>
  <c r="AA563" i="1"/>
  <c r="AC563" i="1" s="1"/>
  <c r="V563" i="1"/>
  <c r="X563" i="1" s="1"/>
  <c r="BJ562" i="1"/>
  <c r="BI562" i="1"/>
  <c r="BH562" i="1"/>
  <c r="BE562" i="1"/>
  <c r="AV562" i="1"/>
  <c r="AJ562" i="1"/>
  <c r="AO562" i="1" s="1"/>
  <c r="AI562" i="1"/>
  <c r="AG562" i="1"/>
  <c r="AY562" i="1" s="1"/>
  <c r="AA562" i="1"/>
  <c r="V562" i="1"/>
  <c r="X562" i="1" s="1"/>
  <c r="BJ561" i="1"/>
  <c r="BI561" i="1"/>
  <c r="BH561" i="1"/>
  <c r="BE561" i="1"/>
  <c r="BM561" i="1" s="1"/>
  <c r="AV561" i="1"/>
  <c r="AJ561" i="1"/>
  <c r="AI561" i="1"/>
  <c r="AG561" i="1"/>
  <c r="AY561" i="1" s="1"/>
  <c r="AA561" i="1"/>
  <c r="AC561" i="1" s="1"/>
  <c r="V561" i="1"/>
  <c r="X561" i="1" s="1"/>
  <c r="BJ560" i="1"/>
  <c r="BI560" i="1"/>
  <c r="BH560" i="1"/>
  <c r="BE560" i="1"/>
  <c r="BM560" i="1" s="1"/>
  <c r="AV560" i="1"/>
  <c r="AJ560" i="1"/>
  <c r="AI560" i="1"/>
  <c r="AG560" i="1"/>
  <c r="AY560" i="1" s="1"/>
  <c r="AA560" i="1"/>
  <c r="AB560" i="1" s="1"/>
  <c r="V560" i="1"/>
  <c r="X560" i="1" s="1"/>
  <c r="BJ559" i="1"/>
  <c r="BI559" i="1"/>
  <c r="BH559" i="1"/>
  <c r="BE559" i="1"/>
  <c r="BM559" i="1" s="1"/>
  <c r="AJ559" i="1"/>
  <c r="AI559" i="1"/>
  <c r="AG559" i="1"/>
  <c r="AX559" i="1" s="1"/>
  <c r="AA559" i="1"/>
  <c r="V559" i="1"/>
  <c r="X559" i="1" s="1"/>
  <c r="BJ558" i="1"/>
  <c r="BI558" i="1"/>
  <c r="BH558" i="1"/>
  <c r="BE558" i="1"/>
  <c r="AV558" i="1"/>
  <c r="AJ558" i="1"/>
  <c r="AI558" i="1"/>
  <c r="AG558" i="1"/>
  <c r="AY558" i="1" s="1"/>
  <c r="AA558" i="1"/>
  <c r="AC558" i="1" s="1"/>
  <c r="V558" i="1"/>
  <c r="X558" i="1" s="1"/>
  <c r="BJ557" i="1"/>
  <c r="BI557" i="1"/>
  <c r="BH557" i="1"/>
  <c r="BE557" i="1"/>
  <c r="BM557" i="1" s="1"/>
  <c r="AJ557" i="1"/>
  <c r="AI557" i="1"/>
  <c r="AG557" i="1"/>
  <c r="AA557" i="1"/>
  <c r="AB557" i="1" s="1"/>
  <c r="V557" i="1"/>
  <c r="X557" i="1" s="1"/>
  <c r="BJ556" i="1"/>
  <c r="BI556" i="1"/>
  <c r="BH556" i="1"/>
  <c r="BE556" i="1"/>
  <c r="AJ556" i="1"/>
  <c r="AI556" i="1"/>
  <c r="AG556" i="1"/>
  <c r="AX556" i="1" s="1"/>
  <c r="AA556" i="1"/>
  <c r="AC556" i="1" s="1"/>
  <c r="V556" i="1"/>
  <c r="X556" i="1" s="1"/>
  <c r="BJ555" i="1"/>
  <c r="BI555" i="1"/>
  <c r="BH555" i="1"/>
  <c r="BE555" i="1"/>
  <c r="AJ555" i="1"/>
  <c r="AI555" i="1"/>
  <c r="AG555" i="1"/>
  <c r="AY555" i="1" s="1"/>
  <c r="AA555" i="1"/>
  <c r="AB555" i="1" s="1"/>
  <c r="V555" i="1"/>
  <c r="X555" i="1" s="1"/>
  <c r="BJ554" i="1"/>
  <c r="BI554" i="1"/>
  <c r="BH554" i="1"/>
  <c r="BE554" i="1"/>
  <c r="BM554" i="1" s="1"/>
  <c r="AJ554" i="1"/>
  <c r="AI554" i="1"/>
  <c r="AG554" i="1"/>
  <c r="AX554" i="1" s="1"/>
  <c r="AA554" i="1"/>
  <c r="AC554" i="1" s="1"/>
  <c r="V554" i="1"/>
  <c r="X554" i="1" s="1"/>
  <c r="BJ553" i="1"/>
  <c r="BI553" i="1"/>
  <c r="BH553" i="1"/>
  <c r="BE553" i="1"/>
  <c r="AV553" i="1"/>
  <c r="AJ553" i="1"/>
  <c r="AI553" i="1"/>
  <c r="AG553" i="1"/>
  <c r="AA553" i="1"/>
  <c r="AC553" i="1" s="1"/>
  <c r="V553" i="1"/>
  <c r="X553" i="1" s="1"/>
  <c r="BJ552" i="1"/>
  <c r="BI552" i="1"/>
  <c r="BH552" i="1"/>
  <c r="BE552" i="1"/>
  <c r="AV552" i="1"/>
  <c r="AJ552" i="1"/>
  <c r="AI552" i="1"/>
  <c r="AG552" i="1"/>
  <c r="AA552" i="1"/>
  <c r="AC552" i="1" s="1"/>
  <c r="V552" i="1"/>
  <c r="X552" i="1" s="1"/>
  <c r="BJ551" i="1"/>
  <c r="BI551" i="1"/>
  <c r="BH551" i="1"/>
  <c r="BE551" i="1"/>
  <c r="AJ551" i="1"/>
  <c r="AI551" i="1"/>
  <c r="AG551" i="1"/>
  <c r="AA551" i="1"/>
  <c r="V551" i="1"/>
  <c r="X551" i="1" s="1"/>
  <c r="BJ550" i="1"/>
  <c r="BI550" i="1"/>
  <c r="BH550" i="1"/>
  <c r="BE550" i="1"/>
  <c r="AV550" i="1"/>
  <c r="AJ550" i="1"/>
  <c r="AI550" i="1"/>
  <c r="AG550" i="1"/>
  <c r="AY550" i="1" s="1"/>
  <c r="AA550" i="1"/>
  <c r="AB550" i="1" s="1"/>
  <c r="V550" i="1"/>
  <c r="X550" i="1" s="1"/>
  <c r="BJ549" i="1"/>
  <c r="BI549" i="1"/>
  <c r="BH549" i="1"/>
  <c r="BE549" i="1"/>
  <c r="BM549" i="1" s="1"/>
  <c r="AV549" i="1"/>
  <c r="AJ549" i="1"/>
  <c r="AI549" i="1"/>
  <c r="AG549" i="1"/>
  <c r="AA549" i="1"/>
  <c r="AC549" i="1" s="1"/>
  <c r="V549" i="1"/>
  <c r="X549" i="1" s="1"/>
  <c r="BJ548" i="1"/>
  <c r="BI548" i="1"/>
  <c r="BH548" i="1"/>
  <c r="BE548" i="1"/>
  <c r="AJ548" i="1"/>
  <c r="AI548" i="1"/>
  <c r="AG548" i="1"/>
  <c r="AY548" i="1" s="1"/>
  <c r="AA548" i="1"/>
  <c r="AC548" i="1" s="1"/>
  <c r="V548" i="1"/>
  <c r="X548" i="1" s="1"/>
  <c r="BJ547" i="1"/>
  <c r="BI547" i="1"/>
  <c r="BH547" i="1"/>
  <c r="BE547" i="1"/>
  <c r="BM547" i="1" s="1"/>
  <c r="AJ547" i="1"/>
  <c r="AI547" i="1"/>
  <c r="AG547" i="1"/>
  <c r="AY547" i="1" s="1"/>
  <c r="AA547" i="1"/>
  <c r="AB547" i="1" s="1"/>
  <c r="V547" i="1"/>
  <c r="X547" i="1" s="1"/>
  <c r="BJ546" i="1"/>
  <c r="BI546" i="1"/>
  <c r="BH546" i="1"/>
  <c r="BE546" i="1"/>
  <c r="BM546" i="1" s="1"/>
  <c r="AV546" i="1"/>
  <c r="AJ546" i="1"/>
  <c r="AI546" i="1"/>
  <c r="AG546" i="1"/>
  <c r="AX546" i="1" s="1"/>
  <c r="AA546" i="1"/>
  <c r="V546" i="1"/>
  <c r="X546" i="1" s="1"/>
  <c r="BJ545" i="1"/>
  <c r="BI545" i="1"/>
  <c r="BH545" i="1"/>
  <c r="BE545" i="1"/>
  <c r="BM545" i="1" s="1"/>
  <c r="AJ545" i="1"/>
  <c r="AI545" i="1"/>
  <c r="AG545" i="1"/>
  <c r="AX545" i="1" s="1"/>
  <c r="AA545" i="1"/>
  <c r="AC545" i="1" s="1"/>
  <c r="V545" i="1"/>
  <c r="X545" i="1" s="1"/>
  <c r="AJ544" i="1"/>
  <c r="AI544" i="1"/>
  <c r="AG544" i="1"/>
  <c r="AA544" i="1"/>
  <c r="AC544" i="1" s="1"/>
  <c r="BJ543" i="1"/>
  <c r="BI543" i="1"/>
  <c r="BH543" i="1"/>
  <c r="BE543" i="1"/>
  <c r="BM543" i="1" s="1"/>
  <c r="AJ543" i="1"/>
  <c r="AF543" i="1"/>
  <c r="AE543" i="1"/>
  <c r="AD543" i="1"/>
  <c r="AA543" i="1"/>
  <c r="V543" i="1"/>
  <c r="X543" i="1" s="1"/>
  <c r="BJ542" i="1"/>
  <c r="BI542" i="1"/>
  <c r="BH542" i="1"/>
  <c r="BE542" i="1"/>
  <c r="AJ542" i="1"/>
  <c r="AI542" i="1"/>
  <c r="AG542" i="1"/>
  <c r="AY542" i="1" s="1"/>
  <c r="AA542" i="1"/>
  <c r="V542" i="1"/>
  <c r="X542" i="1" s="1"/>
  <c r="BJ541" i="1"/>
  <c r="BI541" i="1"/>
  <c r="BH541" i="1"/>
  <c r="BE541" i="1"/>
  <c r="BM541" i="1" s="1"/>
  <c r="AV541" i="1"/>
  <c r="AJ541" i="1"/>
  <c r="AI541" i="1"/>
  <c r="AG541" i="1"/>
  <c r="AY541" i="1" s="1"/>
  <c r="AA541" i="1"/>
  <c r="V541" i="1"/>
  <c r="X541" i="1" s="1"/>
  <c r="BJ540" i="1"/>
  <c r="BI540" i="1"/>
  <c r="BH540" i="1"/>
  <c r="BE540" i="1"/>
  <c r="BM540" i="1" s="1"/>
  <c r="AJ540" i="1"/>
  <c r="AI540" i="1"/>
  <c r="AG540" i="1"/>
  <c r="AA540" i="1"/>
  <c r="AB540" i="1" s="1"/>
  <c r="V540" i="1"/>
  <c r="X540" i="1" s="1"/>
  <c r="BJ539" i="1"/>
  <c r="BI539" i="1"/>
  <c r="BH539" i="1"/>
  <c r="BE539" i="1"/>
  <c r="AJ539" i="1"/>
  <c r="AI539" i="1"/>
  <c r="AG539" i="1"/>
  <c r="AA539" i="1"/>
  <c r="AC539" i="1" s="1"/>
  <c r="V539" i="1"/>
  <c r="X539" i="1" s="1"/>
  <c r="BJ538" i="1"/>
  <c r="BI538" i="1"/>
  <c r="BH538" i="1"/>
  <c r="BE538" i="1"/>
  <c r="BM538" i="1" s="1"/>
  <c r="AJ538" i="1"/>
  <c r="AO538" i="1" s="1"/>
  <c r="AI538" i="1"/>
  <c r="AG538" i="1"/>
  <c r="AY538" i="1" s="1"/>
  <c r="AA538" i="1"/>
  <c r="AB538" i="1" s="1"/>
  <c r="V538" i="1"/>
  <c r="X538" i="1" s="1"/>
  <c r="BJ537" i="1"/>
  <c r="BI537" i="1"/>
  <c r="BH537" i="1"/>
  <c r="BE537" i="1"/>
  <c r="BM537" i="1" s="1"/>
  <c r="AV537" i="1"/>
  <c r="AJ537" i="1"/>
  <c r="AI537" i="1"/>
  <c r="AG537" i="1"/>
  <c r="AX537" i="1" s="1"/>
  <c r="AA537" i="1"/>
  <c r="V537" i="1"/>
  <c r="X537" i="1" s="1"/>
  <c r="BJ536" i="1"/>
  <c r="BI536" i="1"/>
  <c r="BH536" i="1"/>
  <c r="BE536" i="1"/>
  <c r="BM536" i="1" s="1"/>
  <c r="AJ536" i="1"/>
  <c r="AO536" i="1" s="1"/>
  <c r="AI536" i="1"/>
  <c r="AG536" i="1"/>
  <c r="AY536" i="1" s="1"/>
  <c r="AA536" i="1"/>
  <c r="AC536" i="1" s="1"/>
  <c r="V536" i="1"/>
  <c r="X536" i="1" s="1"/>
  <c r="BJ535" i="1"/>
  <c r="BI535" i="1"/>
  <c r="BH535" i="1"/>
  <c r="BE535" i="1"/>
  <c r="BM535" i="1" s="1"/>
  <c r="AJ535" i="1"/>
  <c r="AI535" i="1"/>
  <c r="AG535" i="1"/>
  <c r="AA535" i="1"/>
  <c r="AC535" i="1" s="1"/>
  <c r="V535" i="1"/>
  <c r="X535" i="1" s="1"/>
  <c r="BJ534" i="1"/>
  <c r="BI534" i="1"/>
  <c r="BH534" i="1"/>
  <c r="BE534" i="1"/>
  <c r="AJ534" i="1"/>
  <c r="AI534" i="1"/>
  <c r="AG534" i="1"/>
  <c r="AY534" i="1" s="1"/>
  <c r="AA534" i="1"/>
  <c r="V534" i="1"/>
  <c r="X534" i="1" s="1"/>
  <c r="BJ533" i="1"/>
  <c r="BI533" i="1"/>
  <c r="BH533" i="1"/>
  <c r="BE533" i="1"/>
  <c r="BM533" i="1" s="1"/>
  <c r="AJ533" i="1"/>
  <c r="AI533" i="1"/>
  <c r="AG533" i="1"/>
  <c r="AY533" i="1" s="1"/>
  <c r="AA533" i="1"/>
  <c r="AC533" i="1" s="1"/>
  <c r="V533" i="1"/>
  <c r="X533" i="1" s="1"/>
  <c r="BJ532" i="1"/>
  <c r="BI532" i="1"/>
  <c r="BH532" i="1"/>
  <c r="BE532" i="1"/>
  <c r="BM532" i="1" s="1"/>
  <c r="AJ532" i="1"/>
  <c r="AI532" i="1"/>
  <c r="AG532" i="1"/>
  <c r="AY532" i="1" s="1"/>
  <c r="AA532" i="1"/>
  <c r="AC532" i="1" s="1"/>
  <c r="V532" i="1"/>
  <c r="X532" i="1" s="1"/>
  <c r="BJ531" i="1"/>
  <c r="BI531" i="1"/>
  <c r="BH531" i="1"/>
  <c r="BE531" i="1"/>
  <c r="BM531" i="1" s="1"/>
  <c r="AJ531" i="1"/>
  <c r="AI531" i="1"/>
  <c r="AG531" i="1"/>
  <c r="AY531" i="1" s="1"/>
  <c r="AA531" i="1"/>
  <c r="AC531" i="1" s="1"/>
  <c r="V531" i="1"/>
  <c r="X531" i="1" s="1"/>
  <c r="BJ530" i="1"/>
  <c r="BI530" i="1"/>
  <c r="BH530" i="1"/>
  <c r="BE530" i="1"/>
  <c r="BM530" i="1" s="1"/>
  <c r="AJ530" i="1"/>
  <c r="AI530" i="1"/>
  <c r="AG530" i="1"/>
  <c r="AA530" i="1"/>
  <c r="AB530" i="1" s="1"/>
  <c r="V530" i="1"/>
  <c r="X530" i="1" s="1"/>
  <c r="BJ529" i="1"/>
  <c r="BI529" i="1"/>
  <c r="BH529" i="1"/>
  <c r="BE529" i="1"/>
  <c r="AJ529" i="1"/>
  <c r="AI529" i="1"/>
  <c r="AG529" i="1"/>
  <c r="AX529" i="1" s="1"/>
  <c r="AA529" i="1"/>
  <c r="AC529" i="1" s="1"/>
  <c r="V529" i="1"/>
  <c r="X529" i="1" s="1"/>
  <c r="BJ528" i="1"/>
  <c r="BI528" i="1"/>
  <c r="BH528" i="1"/>
  <c r="BE528" i="1"/>
  <c r="AJ528" i="1"/>
  <c r="AI528" i="1"/>
  <c r="AG528" i="1"/>
  <c r="AY528" i="1" s="1"/>
  <c r="AA528" i="1"/>
  <c r="AB528" i="1" s="1"/>
  <c r="V528" i="1"/>
  <c r="X528" i="1" s="1"/>
  <c r="BJ527" i="1"/>
  <c r="BI527" i="1"/>
  <c r="BH527" i="1"/>
  <c r="BE527" i="1"/>
  <c r="BM527" i="1" s="1"/>
  <c r="AJ527" i="1"/>
  <c r="AI527" i="1"/>
  <c r="AG527" i="1"/>
  <c r="AX527" i="1" s="1"/>
  <c r="AA527" i="1"/>
  <c r="AC527" i="1" s="1"/>
  <c r="V527" i="1"/>
  <c r="X527" i="1" s="1"/>
  <c r="BJ526" i="1"/>
  <c r="BI526" i="1"/>
  <c r="BH526" i="1"/>
  <c r="BE526" i="1"/>
  <c r="AJ526" i="1"/>
  <c r="AI526" i="1"/>
  <c r="AG526" i="1"/>
  <c r="AY526" i="1" s="1"/>
  <c r="AA526" i="1"/>
  <c r="V526" i="1"/>
  <c r="X526" i="1" s="1"/>
  <c r="BJ525" i="1"/>
  <c r="BI525" i="1"/>
  <c r="BH525" i="1"/>
  <c r="BE525" i="1"/>
  <c r="AV525" i="1"/>
  <c r="AJ525" i="1"/>
  <c r="AI525" i="1"/>
  <c r="AG525" i="1"/>
  <c r="AA525" i="1"/>
  <c r="AB525" i="1" s="1"/>
  <c r="V525" i="1"/>
  <c r="X525" i="1" s="1"/>
  <c r="BJ524" i="1"/>
  <c r="BI524" i="1"/>
  <c r="BH524" i="1"/>
  <c r="BE524" i="1"/>
  <c r="AJ524" i="1"/>
  <c r="AI524" i="1"/>
  <c r="AG524" i="1"/>
  <c r="AA524" i="1"/>
  <c r="AC524" i="1" s="1"/>
  <c r="V524" i="1"/>
  <c r="X524" i="1" s="1"/>
  <c r="BJ523" i="1"/>
  <c r="BI523" i="1"/>
  <c r="BH523" i="1"/>
  <c r="BE523" i="1"/>
  <c r="AJ523" i="1"/>
  <c r="AI523" i="1"/>
  <c r="AG523" i="1"/>
  <c r="AX523" i="1" s="1"/>
  <c r="AA523" i="1"/>
  <c r="AB523" i="1" s="1"/>
  <c r="V523" i="1"/>
  <c r="X523" i="1" s="1"/>
  <c r="BJ522" i="1"/>
  <c r="BI522" i="1"/>
  <c r="BH522" i="1"/>
  <c r="BE522" i="1"/>
  <c r="BM522" i="1" s="1"/>
  <c r="AJ522" i="1"/>
  <c r="AI522" i="1"/>
  <c r="AG522" i="1"/>
  <c r="AY522" i="1" s="1"/>
  <c r="AA522" i="1"/>
  <c r="V522" i="1"/>
  <c r="X522" i="1" s="1"/>
  <c r="BJ521" i="1"/>
  <c r="BI521" i="1"/>
  <c r="BH521" i="1"/>
  <c r="BE521" i="1"/>
  <c r="BM521" i="1" s="1"/>
  <c r="AV521" i="1"/>
  <c r="AJ521" i="1"/>
  <c r="AI521" i="1"/>
  <c r="AG521" i="1"/>
  <c r="AA521" i="1"/>
  <c r="AC521" i="1" s="1"/>
  <c r="V521" i="1"/>
  <c r="X521" i="1" s="1"/>
  <c r="BJ520" i="1"/>
  <c r="BI520" i="1"/>
  <c r="BH520" i="1"/>
  <c r="BE520" i="1"/>
  <c r="AJ520" i="1"/>
  <c r="AO520" i="1" s="1"/>
  <c r="AI520" i="1"/>
  <c r="AG520" i="1"/>
  <c r="AA520" i="1"/>
  <c r="AC520" i="1" s="1"/>
  <c r="V520" i="1"/>
  <c r="X520" i="1" s="1"/>
  <c r="BJ519" i="1"/>
  <c r="BI519" i="1"/>
  <c r="BH519" i="1"/>
  <c r="BE519" i="1"/>
  <c r="AV519" i="1"/>
  <c r="AJ519" i="1"/>
  <c r="AI519" i="1"/>
  <c r="AG519" i="1"/>
  <c r="AA519" i="1"/>
  <c r="AC519" i="1" s="1"/>
  <c r="V519" i="1"/>
  <c r="X519" i="1" s="1"/>
  <c r="BJ518" i="1"/>
  <c r="BI518" i="1"/>
  <c r="BH518" i="1"/>
  <c r="BE518" i="1"/>
  <c r="BM518" i="1" s="1"/>
  <c r="AJ518" i="1"/>
  <c r="AI518" i="1"/>
  <c r="AG518" i="1"/>
  <c r="AY518" i="1" s="1"/>
  <c r="AA518" i="1"/>
  <c r="AB518" i="1" s="1"/>
  <c r="V518" i="1"/>
  <c r="X518" i="1" s="1"/>
  <c r="BJ517" i="1"/>
  <c r="BI517" i="1"/>
  <c r="BH517" i="1"/>
  <c r="BE517" i="1"/>
  <c r="BM517" i="1" s="1"/>
  <c r="AV517" i="1"/>
  <c r="AJ517" i="1"/>
  <c r="AI517" i="1"/>
  <c r="AG517" i="1"/>
  <c r="AA517" i="1"/>
  <c r="AB517" i="1" s="1"/>
  <c r="V517" i="1"/>
  <c r="X517" i="1" s="1"/>
  <c r="BJ516" i="1"/>
  <c r="BI516" i="1"/>
  <c r="BH516" i="1"/>
  <c r="BE516" i="1"/>
  <c r="AV516" i="1"/>
  <c r="AJ516" i="1"/>
  <c r="AO516" i="1" s="1"/>
  <c r="AI516" i="1"/>
  <c r="AG516" i="1"/>
  <c r="AX516" i="1" s="1"/>
  <c r="AA516" i="1"/>
  <c r="AC516" i="1" s="1"/>
  <c r="V516" i="1"/>
  <c r="X516" i="1" s="1"/>
  <c r="BJ515" i="1"/>
  <c r="BI515" i="1"/>
  <c r="BH515" i="1"/>
  <c r="BE515" i="1"/>
  <c r="BM515" i="1" s="1"/>
  <c r="AV515" i="1"/>
  <c r="AJ515" i="1"/>
  <c r="AI515" i="1"/>
  <c r="AG515" i="1"/>
  <c r="AY515" i="1" s="1"/>
  <c r="AA515" i="1"/>
  <c r="AC515" i="1" s="1"/>
  <c r="V515" i="1"/>
  <c r="X515" i="1" s="1"/>
  <c r="BJ514" i="1"/>
  <c r="BI514" i="1"/>
  <c r="BH514" i="1"/>
  <c r="BE514" i="1"/>
  <c r="AJ514" i="1"/>
  <c r="AI514" i="1"/>
  <c r="AG514" i="1"/>
  <c r="AA514" i="1"/>
  <c r="AB514" i="1" s="1"/>
  <c r="V514" i="1"/>
  <c r="X514" i="1" s="1"/>
  <c r="BJ513" i="1"/>
  <c r="BI513" i="1"/>
  <c r="BH513" i="1"/>
  <c r="BE513" i="1"/>
  <c r="AJ513" i="1"/>
  <c r="AI513" i="1"/>
  <c r="AG513" i="1"/>
  <c r="AX513" i="1" s="1"/>
  <c r="AA513" i="1"/>
  <c r="AC513" i="1" s="1"/>
  <c r="V513" i="1"/>
  <c r="X513" i="1" s="1"/>
  <c r="BJ512" i="1"/>
  <c r="BI512" i="1"/>
  <c r="BH512" i="1"/>
  <c r="BE512" i="1"/>
  <c r="BM512" i="1" s="1"/>
  <c r="AV512" i="1"/>
  <c r="AO512" i="1"/>
  <c r="AI512" i="1"/>
  <c r="AG512" i="1"/>
  <c r="AY512" i="1" s="1"/>
  <c r="AA512" i="1"/>
  <c r="V512" i="1"/>
  <c r="X512" i="1" s="1"/>
  <c r="BJ511" i="1"/>
  <c r="BI511" i="1"/>
  <c r="BH511" i="1"/>
  <c r="BE511" i="1"/>
  <c r="BM511" i="1" s="1"/>
  <c r="AJ511" i="1"/>
  <c r="AI511" i="1"/>
  <c r="AG511" i="1"/>
  <c r="AY511" i="1" s="1"/>
  <c r="AA511" i="1"/>
  <c r="AC511" i="1" s="1"/>
  <c r="V511" i="1"/>
  <c r="X511" i="1" s="1"/>
  <c r="BJ510" i="1"/>
  <c r="BI510" i="1"/>
  <c r="BH510" i="1"/>
  <c r="BE510" i="1"/>
  <c r="BM510" i="1" s="1"/>
  <c r="AJ510" i="1"/>
  <c r="AI510" i="1"/>
  <c r="AG510" i="1"/>
  <c r="AY510" i="1" s="1"/>
  <c r="AA510" i="1"/>
  <c r="AC510" i="1" s="1"/>
  <c r="V510" i="1"/>
  <c r="X510" i="1" s="1"/>
  <c r="BJ509" i="1"/>
  <c r="BI509" i="1"/>
  <c r="BH509" i="1"/>
  <c r="BE509" i="1"/>
  <c r="BM509" i="1" s="1"/>
  <c r="AV509" i="1"/>
  <c r="AJ509" i="1"/>
  <c r="AI509" i="1"/>
  <c r="AG509" i="1"/>
  <c r="AA509" i="1"/>
  <c r="AC509" i="1" s="1"/>
  <c r="V509" i="1"/>
  <c r="X509" i="1" s="1"/>
  <c r="BJ508" i="1"/>
  <c r="BI508" i="1"/>
  <c r="BH508" i="1"/>
  <c r="BE508" i="1"/>
  <c r="AV508" i="1"/>
  <c r="AJ508" i="1"/>
  <c r="AI508" i="1"/>
  <c r="AG508" i="1"/>
  <c r="AY508" i="1" s="1"/>
  <c r="AA508" i="1"/>
  <c r="V508" i="1"/>
  <c r="X508" i="1" s="1"/>
  <c r="BJ507" i="1"/>
  <c r="BI507" i="1"/>
  <c r="BH507" i="1"/>
  <c r="BE507" i="1"/>
  <c r="AJ507" i="1"/>
  <c r="AI507" i="1"/>
  <c r="AG507" i="1"/>
  <c r="AA507" i="1"/>
  <c r="AB507" i="1" s="1"/>
  <c r="V507" i="1"/>
  <c r="X507" i="1" s="1"/>
  <c r="BJ506" i="1"/>
  <c r="BI506" i="1"/>
  <c r="BH506" i="1"/>
  <c r="BE506" i="1"/>
  <c r="AJ506" i="1"/>
  <c r="AI506" i="1"/>
  <c r="AG506" i="1"/>
  <c r="AA506" i="1"/>
  <c r="AB506" i="1" s="1"/>
  <c r="V506" i="1"/>
  <c r="X506" i="1" s="1"/>
  <c r="BJ505" i="1"/>
  <c r="BI505" i="1"/>
  <c r="BH505" i="1"/>
  <c r="BE505" i="1"/>
  <c r="AJ505" i="1"/>
  <c r="AI505" i="1"/>
  <c r="AG505" i="1"/>
  <c r="AY505" i="1" s="1"/>
  <c r="AA505" i="1"/>
  <c r="AC505" i="1" s="1"/>
  <c r="V505" i="1"/>
  <c r="X505" i="1" s="1"/>
  <c r="BJ504" i="1"/>
  <c r="BI504" i="1"/>
  <c r="BH504" i="1"/>
  <c r="BE504" i="1"/>
  <c r="AJ504" i="1"/>
  <c r="AI504" i="1"/>
  <c r="AG504" i="1"/>
  <c r="AA504" i="1"/>
  <c r="AC504" i="1" s="1"/>
  <c r="V504" i="1"/>
  <c r="X504" i="1" s="1"/>
  <c r="BJ503" i="1"/>
  <c r="BI503" i="1"/>
  <c r="BH503" i="1"/>
  <c r="BE503" i="1"/>
  <c r="AV503" i="1"/>
  <c r="AJ503" i="1"/>
  <c r="AI503" i="1"/>
  <c r="AG503" i="1"/>
  <c r="AA503" i="1"/>
  <c r="V503" i="1"/>
  <c r="X503" i="1" s="1"/>
  <c r="BJ502" i="1"/>
  <c r="BI502" i="1"/>
  <c r="BH502" i="1"/>
  <c r="BE502" i="1"/>
  <c r="BM502" i="1" s="1"/>
  <c r="AV502" i="1"/>
  <c r="AJ502" i="1"/>
  <c r="AI502" i="1"/>
  <c r="AG502" i="1"/>
  <c r="AA502" i="1"/>
  <c r="AC502" i="1" s="1"/>
  <c r="V502" i="1"/>
  <c r="X502" i="1" s="1"/>
  <c r="BJ501" i="1"/>
  <c r="BI501" i="1"/>
  <c r="BH501" i="1"/>
  <c r="BE501" i="1"/>
  <c r="AV501" i="1"/>
  <c r="AJ501" i="1"/>
  <c r="AI501" i="1"/>
  <c r="AG501" i="1"/>
  <c r="AA501" i="1"/>
  <c r="V501" i="1"/>
  <c r="X501" i="1" s="1"/>
  <c r="BJ500" i="1"/>
  <c r="BI500" i="1"/>
  <c r="BH500" i="1"/>
  <c r="BE500" i="1"/>
  <c r="AJ500" i="1"/>
  <c r="AI500" i="1"/>
  <c r="AG500" i="1"/>
  <c r="AY500" i="1" s="1"/>
  <c r="AA500" i="1"/>
  <c r="V500" i="1"/>
  <c r="X500" i="1" s="1"/>
  <c r="BJ499" i="1"/>
  <c r="BI499" i="1"/>
  <c r="BH499" i="1"/>
  <c r="BE499" i="1"/>
  <c r="BM499" i="1" s="1"/>
  <c r="AJ499" i="1"/>
  <c r="AI499" i="1"/>
  <c r="AG499" i="1"/>
  <c r="AY499" i="1" s="1"/>
  <c r="AA499" i="1"/>
  <c r="AC499" i="1" s="1"/>
  <c r="V499" i="1"/>
  <c r="X499" i="1" s="1"/>
  <c r="BJ498" i="1"/>
  <c r="BI498" i="1"/>
  <c r="BH498" i="1"/>
  <c r="BE498" i="1"/>
  <c r="BM498" i="1" s="1"/>
  <c r="AJ498" i="1"/>
  <c r="AI498" i="1"/>
  <c r="AG498" i="1"/>
  <c r="AA498" i="1"/>
  <c r="V498" i="1"/>
  <c r="X498" i="1" s="1"/>
  <c r="BJ497" i="1"/>
  <c r="BI497" i="1"/>
  <c r="BH497" i="1"/>
  <c r="BE497" i="1"/>
  <c r="AJ497" i="1"/>
  <c r="AI497" i="1"/>
  <c r="AG497" i="1"/>
  <c r="AY497" i="1" s="1"/>
  <c r="AA497" i="1"/>
  <c r="V497" i="1"/>
  <c r="X497" i="1" s="1"/>
  <c r="BJ496" i="1"/>
  <c r="BI496" i="1"/>
  <c r="BH496" i="1"/>
  <c r="BE496" i="1"/>
  <c r="BM496" i="1" s="1"/>
  <c r="AJ496" i="1"/>
  <c r="AI496" i="1"/>
  <c r="AG496" i="1"/>
  <c r="AA496" i="1"/>
  <c r="AC496" i="1" s="1"/>
  <c r="V496" i="1"/>
  <c r="X496" i="1" s="1"/>
  <c r="BJ495" i="1"/>
  <c r="BI495" i="1"/>
  <c r="BH495" i="1"/>
  <c r="BE495" i="1"/>
  <c r="AJ495" i="1"/>
  <c r="AI495" i="1"/>
  <c r="AG495" i="1"/>
  <c r="AA495" i="1"/>
  <c r="V495" i="1"/>
  <c r="X495" i="1" s="1"/>
  <c r="BJ494" i="1"/>
  <c r="BI494" i="1"/>
  <c r="BH494" i="1"/>
  <c r="BE494" i="1"/>
  <c r="AJ494" i="1"/>
  <c r="AI494" i="1"/>
  <c r="AG494" i="1"/>
  <c r="AY494" i="1" s="1"/>
  <c r="AA494" i="1"/>
  <c r="V494" i="1"/>
  <c r="X494" i="1" s="1"/>
  <c r="BJ493" i="1"/>
  <c r="BI493" i="1"/>
  <c r="BH493" i="1"/>
  <c r="BE493" i="1"/>
  <c r="BM493" i="1" s="1"/>
  <c r="AJ493" i="1"/>
  <c r="AI493" i="1"/>
  <c r="AG493" i="1"/>
  <c r="AY493" i="1" s="1"/>
  <c r="AA493" i="1"/>
  <c r="V493" i="1"/>
  <c r="X493" i="1" s="1"/>
  <c r="BJ492" i="1"/>
  <c r="BI492" i="1"/>
  <c r="BH492" i="1"/>
  <c r="BE492" i="1"/>
  <c r="AV492" i="1"/>
  <c r="AJ492" i="1"/>
  <c r="AI492" i="1"/>
  <c r="AG492" i="1"/>
  <c r="AA492" i="1"/>
  <c r="AC492" i="1" s="1"/>
  <c r="V492" i="1"/>
  <c r="X492" i="1" s="1"/>
  <c r="BJ491" i="1"/>
  <c r="BI491" i="1"/>
  <c r="BH491" i="1"/>
  <c r="BE491" i="1"/>
  <c r="AJ491" i="1"/>
  <c r="AO491" i="1" s="1"/>
  <c r="AI491" i="1"/>
  <c r="AG491" i="1"/>
  <c r="AY491" i="1" s="1"/>
  <c r="AA491" i="1"/>
  <c r="AB491" i="1" s="1"/>
  <c r="V491" i="1"/>
  <c r="X491" i="1" s="1"/>
  <c r="BJ490" i="1"/>
  <c r="BI490" i="1"/>
  <c r="BH490" i="1"/>
  <c r="BE490" i="1"/>
  <c r="BM490" i="1" s="1"/>
  <c r="AJ490" i="1"/>
  <c r="AI490" i="1"/>
  <c r="AG490" i="1"/>
  <c r="AA490" i="1"/>
  <c r="V490" i="1"/>
  <c r="X490" i="1" s="1"/>
  <c r="BJ489" i="1"/>
  <c r="BI489" i="1"/>
  <c r="BH489" i="1"/>
  <c r="BE489" i="1"/>
  <c r="AJ489" i="1"/>
  <c r="AI489" i="1"/>
  <c r="AG489" i="1"/>
  <c r="AA489" i="1"/>
  <c r="V489" i="1"/>
  <c r="X489" i="1" s="1"/>
  <c r="BJ488" i="1"/>
  <c r="BI488" i="1"/>
  <c r="BH488" i="1"/>
  <c r="BE488" i="1"/>
  <c r="BM488" i="1" s="1"/>
  <c r="AV488" i="1"/>
  <c r="AI488" i="1"/>
  <c r="AP488" i="1" s="1"/>
  <c r="AQ488" i="1" s="1"/>
  <c r="AG488" i="1"/>
  <c r="AA488" i="1"/>
  <c r="AC488" i="1" s="1"/>
  <c r="V488" i="1"/>
  <c r="X488" i="1" s="1"/>
  <c r="BJ487" i="1"/>
  <c r="BI487" i="1"/>
  <c r="BH487" i="1"/>
  <c r="BE487" i="1"/>
  <c r="AJ487" i="1"/>
  <c r="AI487" i="1"/>
  <c r="AG487" i="1"/>
  <c r="AX487" i="1" s="1"/>
  <c r="AA487" i="1"/>
  <c r="AC487" i="1" s="1"/>
  <c r="V487" i="1"/>
  <c r="X487" i="1" s="1"/>
  <c r="BJ486" i="1"/>
  <c r="BI486" i="1"/>
  <c r="BH486" i="1"/>
  <c r="BE486" i="1"/>
  <c r="BM486" i="1" s="1"/>
  <c r="AJ486" i="1"/>
  <c r="AI486" i="1"/>
  <c r="AG486" i="1"/>
  <c r="AA486" i="1"/>
  <c r="AC486" i="1" s="1"/>
  <c r="V486" i="1"/>
  <c r="X486" i="1" s="1"/>
  <c r="BJ485" i="1"/>
  <c r="BI485" i="1"/>
  <c r="BH485" i="1"/>
  <c r="BE485" i="1"/>
  <c r="AV485" i="1"/>
  <c r="AJ485" i="1"/>
  <c r="AO485" i="1" s="1"/>
  <c r="AI485" i="1"/>
  <c r="AG485" i="1"/>
  <c r="AA485" i="1"/>
  <c r="AC485" i="1" s="1"/>
  <c r="V485" i="1"/>
  <c r="X485" i="1" s="1"/>
  <c r="BJ484" i="1"/>
  <c r="BI484" i="1"/>
  <c r="BH484" i="1"/>
  <c r="BE484" i="1"/>
  <c r="AJ484" i="1"/>
  <c r="AI484" i="1"/>
  <c r="AG484" i="1"/>
  <c r="AY484" i="1" s="1"/>
  <c r="AA484" i="1"/>
  <c r="AC484" i="1" s="1"/>
  <c r="V484" i="1"/>
  <c r="X484" i="1" s="1"/>
  <c r="BJ483" i="1"/>
  <c r="BI483" i="1"/>
  <c r="BH483" i="1"/>
  <c r="BE483" i="1"/>
  <c r="BM483" i="1" s="1"/>
  <c r="AJ483" i="1"/>
  <c r="AI483" i="1"/>
  <c r="AG483" i="1"/>
  <c r="AA483" i="1"/>
  <c r="AB483" i="1" s="1"/>
  <c r="V483" i="1"/>
  <c r="X483" i="1" s="1"/>
  <c r="AJ482" i="1"/>
  <c r="AI482" i="1"/>
  <c r="AG482" i="1"/>
  <c r="AA482" i="1"/>
  <c r="BJ481" i="1"/>
  <c r="BI481" i="1"/>
  <c r="BH481" i="1"/>
  <c r="BE481" i="1"/>
  <c r="BM481" i="1" s="1"/>
  <c r="AJ481" i="1"/>
  <c r="AF481" i="1"/>
  <c r="AI481" i="1" s="1"/>
  <c r="AE481" i="1"/>
  <c r="AD481" i="1"/>
  <c r="AA481" i="1"/>
  <c r="V481" i="1"/>
  <c r="X481" i="1" s="1"/>
  <c r="BJ480" i="1"/>
  <c r="BI480" i="1"/>
  <c r="BH480" i="1"/>
  <c r="BE480" i="1"/>
  <c r="BM480" i="1" s="1"/>
  <c r="AJ480" i="1"/>
  <c r="AI480" i="1"/>
  <c r="AG480" i="1"/>
  <c r="AA480" i="1"/>
  <c r="AC480" i="1" s="1"/>
  <c r="V480" i="1"/>
  <c r="X480" i="1" s="1"/>
  <c r="BJ479" i="1"/>
  <c r="BI479" i="1"/>
  <c r="BH479" i="1"/>
  <c r="BE479" i="1"/>
  <c r="AJ479" i="1"/>
  <c r="AI479" i="1"/>
  <c r="AG479" i="1"/>
  <c r="AY479" i="1" s="1"/>
  <c r="AA479" i="1"/>
  <c r="V479" i="1"/>
  <c r="X479" i="1" s="1"/>
  <c r="BJ478" i="1"/>
  <c r="BI478" i="1"/>
  <c r="BH478" i="1"/>
  <c r="BE478" i="1"/>
  <c r="BM478" i="1" s="1"/>
  <c r="AJ478" i="1"/>
  <c r="AI478" i="1"/>
  <c r="AG478" i="1"/>
  <c r="AA478" i="1"/>
  <c r="AC478" i="1" s="1"/>
  <c r="V478" i="1"/>
  <c r="X478" i="1" s="1"/>
  <c r="BJ477" i="1"/>
  <c r="BI477" i="1"/>
  <c r="BH477" i="1"/>
  <c r="BE477" i="1"/>
  <c r="AJ477" i="1"/>
  <c r="AI477" i="1"/>
  <c r="AG477" i="1"/>
  <c r="AY477" i="1" s="1"/>
  <c r="AA477" i="1"/>
  <c r="V477" i="1"/>
  <c r="X477" i="1" s="1"/>
  <c r="AJ476" i="1"/>
  <c r="AI476" i="1"/>
  <c r="AG476" i="1"/>
  <c r="AA476" i="1"/>
  <c r="BJ475" i="1"/>
  <c r="BI475" i="1"/>
  <c r="BH475" i="1"/>
  <c r="BE475" i="1"/>
  <c r="BM475" i="1" s="1"/>
  <c r="AJ475" i="1"/>
  <c r="AF475" i="1"/>
  <c r="AE475" i="1"/>
  <c r="AD475" i="1"/>
  <c r="AA475" i="1"/>
  <c r="V475" i="1"/>
  <c r="X475" i="1" s="1"/>
  <c r="BJ474" i="1"/>
  <c r="BI474" i="1"/>
  <c r="BH474" i="1"/>
  <c r="BE474" i="1"/>
  <c r="AV474" i="1"/>
  <c r="AJ474" i="1"/>
  <c r="AI474" i="1"/>
  <c r="AG474" i="1"/>
  <c r="AY474" i="1" s="1"/>
  <c r="AA474" i="1"/>
  <c r="V474" i="1"/>
  <c r="X474" i="1" s="1"/>
  <c r="BJ473" i="1"/>
  <c r="BI473" i="1"/>
  <c r="BH473" i="1"/>
  <c r="BE473" i="1"/>
  <c r="AJ473" i="1"/>
  <c r="AI473" i="1"/>
  <c r="AG473" i="1"/>
  <c r="AX473" i="1" s="1"/>
  <c r="AA473" i="1"/>
  <c r="AB473" i="1" s="1"/>
  <c r="V473" i="1"/>
  <c r="X473" i="1" s="1"/>
  <c r="BJ472" i="1"/>
  <c r="BI472" i="1"/>
  <c r="BH472" i="1"/>
  <c r="BE472" i="1"/>
  <c r="BM472" i="1" s="1"/>
  <c r="AJ472" i="1"/>
  <c r="AI472" i="1"/>
  <c r="AG472" i="1"/>
  <c r="AA472" i="1"/>
  <c r="AC472" i="1" s="1"/>
  <c r="V472" i="1"/>
  <c r="X472" i="1" s="1"/>
  <c r="BJ471" i="1"/>
  <c r="BI471" i="1"/>
  <c r="BH471" i="1"/>
  <c r="BE471" i="1"/>
  <c r="BM471" i="1" s="1"/>
  <c r="AJ471" i="1"/>
  <c r="AI471" i="1"/>
  <c r="AG471" i="1"/>
  <c r="AY471" i="1" s="1"/>
  <c r="AA471" i="1"/>
  <c r="AC471" i="1" s="1"/>
  <c r="V471" i="1"/>
  <c r="X471" i="1" s="1"/>
  <c r="BJ470" i="1"/>
  <c r="BI470" i="1"/>
  <c r="BH470" i="1"/>
  <c r="BE470" i="1"/>
  <c r="BM470" i="1" s="1"/>
  <c r="AV470" i="1"/>
  <c r="AJ470" i="1"/>
  <c r="AI470" i="1"/>
  <c r="AG470" i="1"/>
  <c r="AA470" i="1"/>
  <c r="AB470" i="1" s="1"/>
  <c r="V470" i="1"/>
  <c r="X470" i="1" s="1"/>
  <c r="BJ469" i="1"/>
  <c r="BI469" i="1"/>
  <c r="BH469" i="1"/>
  <c r="BE469" i="1"/>
  <c r="BM469" i="1" s="1"/>
  <c r="AV469" i="1"/>
  <c r="AJ469" i="1"/>
  <c r="AI469" i="1"/>
  <c r="AG469" i="1"/>
  <c r="AA469" i="1"/>
  <c r="AB469" i="1" s="1"/>
  <c r="V469" i="1"/>
  <c r="X469" i="1" s="1"/>
  <c r="BJ468" i="1"/>
  <c r="BI468" i="1"/>
  <c r="BH468" i="1"/>
  <c r="BE468" i="1"/>
  <c r="BM468" i="1" s="1"/>
  <c r="AV468" i="1"/>
  <c r="AJ468" i="1"/>
  <c r="AI468" i="1"/>
  <c r="AG468" i="1"/>
  <c r="AX468" i="1" s="1"/>
  <c r="AA468" i="1"/>
  <c r="V468" i="1"/>
  <c r="X468" i="1" s="1"/>
  <c r="BJ467" i="1"/>
  <c r="BI467" i="1"/>
  <c r="BH467" i="1"/>
  <c r="BE467" i="1"/>
  <c r="BM467" i="1" s="1"/>
  <c r="AJ467" i="1"/>
  <c r="AI467" i="1"/>
  <c r="AG467" i="1"/>
  <c r="AY467" i="1" s="1"/>
  <c r="AA467" i="1"/>
  <c r="V467" i="1"/>
  <c r="X467" i="1" s="1"/>
  <c r="BJ466" i="1"/>
  <c r="BI466" i="1"/>
  <c r="BH466" i="1"/>
  <c r="BE466" i="1"/>
  <c r="AV466" i="1"/>
  <c r="AJ466" i="1"/>
  <c r="AI466" i="1"/>
  <c r="AG466" i="1"/>
  <c r="AA466" i="1"/>
  <c r="AC466" i="1" s="1"/>
  <c r="V466" i="1"/>
  <c r="X466" i="1" s="1"/>
  <c r="BJ465" i="1"/>
  <c r="BI465" i="1"/>
  <c r="BH465" i="1"/>
  <c r="BE465" i="1"/>
  <c r="BM465" i="1" s="1"/>
  <c r="AJ465" i="1"/>
  <c r="AI465" i="1"/>
  <c r="AG465" i="1"/>
  <c r="AX465" i="1" s="1"/>
  <c r="AA465" i="1"/>
  <c r="AB465" i="1" s="1"/>
  <c r="V465" i="1"/>
  <c r="X465" i="1" s="1"/>
  <c r="BJ464" i="1"/>
  <c r="BI464" i="1"/>
  <c r="BH464" i="1"/>
  <c r="BE464" i="1"/>
  <c r="BM464" i="1" s="1"/>
  <c r="AJ464" i="1"/>
  <c r="AI464" i="1"/>
  <c r="AG464" i="1"/>
  <c r="AX464" i="1" s="1"/>
  <c r="AA464" i="1"/>
  <c r="AC464" i="1" s="1"/>
  <c r="V464" i="1"/>
  <c r="X464" i="1" s="1"/>
  <c r="BJ463" i="1"/>
  <c r="BI463" i="1"/>
  <c r="BH463" i="1"/>
  <c r="BE463" i="1"/>
  <c r="BM463" i="1" s="1"/>
  <c r="AJ463" i="1"/>
  <c r="AI463" i="1"/>
  <c r="AG463" i="1"/>
  <c r="AY463" i="1" s="1"/>
  <c r="AA463" i="1"/>
  <c r="V463" i="1"/>
  <c r="X463" i="1" s="1"/>
  <c r="BJ462" i="1"/>
  <c r="BI462" i="1"/>
  <c r="BH462" i="1"/>
  <c r="BE462" i="1"/>
  <c r="BM462" i="1" s="1"/>
  <c r="AV462" i="1"/>
  <c r="AJ462" i="1"/>
  <c r="AI462" i="1"/>
  <c r="AG462" i="1"/>
  <c r="AY462" i="1" s="1"/>
  <c r="AA462" i="1"/>
  <c r="AC462" i="1" s="1"/>
  <c r="V462" i="1"/>
  <c r="X462" i="1" s="1"/>
  <c r="BJ461" i="1"/>
  <c r="BI461" i="1"/>
  <c r="BH461" i="1"/>
  <c r="BE461" i="1"/>
  <c r="AJ461" i="1"/>
  <c r="AI461" i="1"/>
  <c r="AG461" i="1"/>
  <c r="AA461" i="1"/>
  <c r="V461" i="1"/>
  <c r="X461" i="1" s="1"/>
  <c r="BJ460" i="1"/>
  <c r="BI460" i="1"/>
  <c r="BH460" i="1"/>
  <c r="BE460" i="1"/>
  <c r="AV460" i="1"/>
  <c r="AJ460" i="1"/>
  <c r="AI460" i="1"/>
  <c r="AG460" i="1"/>
  <c r="AA460" i="1"/>
  <c r="V460" i="1"/>
  <c r="X460" i="1" s="1"/>
  <c r="BJ459" i="1"/>
  <c r="BI459" i="1"/>
  <c r="BH459" i="1"/>
  <c r="BE459" i="1"/>
  <c r="AJ459" i="1"/>
  <c r="AI459" i="1"/>
  <c r="AG459" i="1"/>
  <c r="AA459" i="1"/>
  <c r="V459" i="1"/>
  <c r="X459" i="1" s="1"/>
  <c r="BJ458" i="1"/>
  <c r="BI458" i="1"/>
  <c r="BH458" i="1"/>
  <c r="BE458" i="1"/>
  <c r="AV458" i="1"/>
  <c r="AJ458" i="1"/>
  <c r="AI458" i="1"/>
  <c r="AG458" i="1"/>
  <c r="AA458" i="1"/>
  <c r="AC458" i="1" s="1"/>
  <c r="V458" i="1"/>
  <c r="X458" i="1" s="1"/>
  <c r="BJ457" i="1"/>
  <c r="BI457" i="1"/>
  <c r="BH457" i="1"/>
  <c r="BE457" i="1"/>
  <c r="BM457" i="1" s="1"/>
  <c r="AV457" i="1"/>
  <c r="AJ457" i="1"/>
  <c r="AI457" i="1"/>
  <c r="AG457" i="1"/>
  <c r="AY457" i="1" s="1"/>
  <c r="AA457" i="1"/>
  <c r="AB457" i="1" s="1"/>
  <c r="V457" i="1"/>
  <c r="X457" i="1" s="1"/>
  <c r="AJ456" i="1"/>
  <c r="AI456" i="1"/>
  <c r="AG456" i="1"/>
  <c r="AA456" i="1"/>
  <c r="AC456" i="1" s="1"/>
  <c r="BJ455" i="1"/>
  <c r="BI455" i="1"/>
  <c r="BH455" i="1"/>
  <c r="BE455" i="1"/>
  <c r="AV455" i="1"/>
  <c r="AJ455" i="1"/>
  <c r="AF455" i="1"/>
  <c r="AI455" i="1" s="1"/>
  <c r="AE455" i="1"/>
  <c r="AD455" i="1"/>
  <c r="AA455" i="1"/>
  <c r="V455" i="1"/>
  <c r="X455" i="1" s="1"/>
  <c r="BJ454" i="1"/>
  <c r="BI454" i="1"/>
  <c r="BH454" i="1"/>
  <c r="BE454" i="1"/>
  <c r="BM454" i="1" s="1"/>
  <c r="AV454" i="1"/>
  <c r="AJ454" i="1"/>
  <c r="AI454" i="1"/>
  <c r="AG454" i="1"/>
  <c r="AA454" i="1"/>
  <c r="AB454" i="1" s="1"/>
  <c r="V454" i="1"/>
  <c r="X454" i="1" s="1"/>
  <c r="BJ453" i="1"/>
  <c r="BI453" i="1"/>
  <c r="BH453" i="1"/>
  <c r="BE453" i="1"/>
  <c r="AJ453" i="1"/>
  <c r="AI453" i="1"/>
  <c r="AG453" i="1"/>
  <c r="AA453" i="1"/>
  <c r="AC453" i="1" s="1"/>
  <c r="V453" i="1"/>
  <c r="X453" i="1" s="1"/>
  <c r="BJ452" i="1"/>
  <c r="BI452" i="1"/>
  <c r="BH452" i="1"/>
  <c r="BE452" i="1"/>
  <c r="BM452" i="1" s="1"/>
  <c r="AJ452" i="1"/>
  <c r="AI452" i="1"/>
  <c r="AG452" i="1"/>
  <c r="AX452" i="1" s="1"/>
  <c r="AA452" i="1"/>
  <c r="V452" i="1"/>
  <c r="X452" i="1" s="1"/>
  <c r="BJ451" i="1"/>
  <c r="BI451" i="1"/>
  <c r="BH451" i="1"/>
  <c r="BE451" i="1"/>
  <c r="AV451" i="1"/>
  <c r="AJ451" i="1"/>
  <c r="AI451" i="1"/>
  <c r="AG451" i="1"/>
  <c r="AX451" i="1" s="1"/>
  <c r="AA451" i="1"/>
  <c r="AC451" i="1" s="1"/>
  <c r="V451" i="1"/>
  <c r="X451" i="1" s="1"/>
  <c r="BJ450" i="1"/>
  <c r="BI450" i="1"/>
  <c r="BH450" i="1"/>
  <c r="BE450" i="1"/>
  <c r="BM450" i="1" s="1"/>
  <c r="AJ450" i="1"/>
  <c r="AI450" i="1"/>
  <c r="AG450" i="1"/>
  <c r="AY450" i="1" s="1"/>
  <c r="AA450" i="1"/>
  <c r="V450" i="1"/>
  <c r="X450" i="1" s="1"/>
  <c r="BJ449" i="1"/>
  <c r="BI449" i="1"/>
  <c r="BH449" i="1"/>
  <c r="BE449" i="1"/>
  <c r="BM449" i="1" s="1"/>
  <c r="AJ449" i="1"/>
  <c r="AI449" i="1"/>
  <c r="AG449" i="1"/>
  <c r="AA449" i="1"/>
  <c r="AB449" i="1" s="1"/>
  <c r="V449" i="1"/>
  <c r="X449" i="1" s="1"/>
  <c r="BJ448" i="1"/>
  <c r="BI448" i="1"/>
  <c r="BH448" i="1"/>
  <c r="BE448" i="1"/>
  <c r="AV448" i="1"/>
  <c r="AJ448" i="1"/>
  <c r="AI448" i="1"/>
  <c r="AG448" i="1"/>
  <c r="AX448" i="1" s="1"/>
  <c r="AA448" i="1"/>
  <c r="AB448" i="1" s="1"/>
  <c r="V448" i="1"/>
  <c r="X448" i="1" s="1"/>
  <c r="BJ447" i="1"/>
  <c r="BI447" i="1"/>
  <c r="BH447" i="1"/>
  <c r="BE447" i="1"/>
  <c r="AV447" i="1"/>
  <c r="AJ447" i="1"/>
  <c r="AI447" i="1"/>
  <c r="AG447" i="1"/>
  <c r="AX447" i="1" s="1"/>
  <c r="AA447" i="1"/>
  <c r="AC447" i="1" s="1"/>
  <c r="V447" i="1"/>
  <c r="X447" i="1" s="1"/>
  <c r="BJ446" i="1"/>
  <c r="BI446" i="1"/>
  <c r="BH446" i="1"/>
  <c r="BE446" i="1"/>
  <c r="BM446" i="1" s="1"/>
  <c r="AJ446" i="1"/>
  <c r="AI446" i="1"/>
  <c r="AG446" i="1"/>
  <c r="AY446" i="1" s="1"/>
  <c r="AA446" i="1"/>
  <c r="V446" i="1"/>
  <c r="X446" i="1" s="1"/>
  <c r="BJ445" i="1"/>
  <c r="BI445" i="1"/>
  <c r="BH445" i="1"/>
  <c r="BE445" i="1"/>
  <c r="BM445" i="1" s="1"/>
  <c r="AV445" i="1"/>
  <c r="AJ445" i="1"/>
  <c r="AI445" i="1"/>
  <c r="AG445" i="1"/>
  <c r="AX445" i="1" s="1"/>
  <c r="AA445" i="1"/>
  <c r="AC445" i="1" s="1"/>
  <c r="V445" i="1"/>
  <c r="X445" i="1" s="1"/>
  <c r="BJ444" i="1"/>
  <c r="BI444" i="1"/>
  <c r="BH444" i="1"/>
  <c r="BE444" i="1"/>
  <c r="BM444" i="1" s="1"/>
  <c r="AV444" i="1"/>
  <c r="AJ444" i="1"/>
  <c r="AI444" i="1"/>
  <c r="AG444" i="1"/>
  <c r="AA444" i="1"/>
  <c r="AB444" i="1" s="1"/>
  <c r="V444" i="1"/>
  <c r="X444" i="1" s="1"/>
  <c r="BJ443" i="1"/>
  <c r="BI443" i="1"/>
  <c r="BH443" i="1"/>
  <c r="BE443" i="1"/>
  <c r="AJ443" i="1"/>
  <c r="AI443" i="1"/>
  <c r="AG443" i="1"/>
  <c r="AA443" i="1"/>
  <c r="V443" i="1"/>
  <c r="X443" i="1" s="1"/>
  <c r="BJ442" i="1"/>
  <c r="BI442" i="1"/>
  <c r="BH442" i="1"/>
  <c r="BE442" i="1"/>
  <c r="AJ442" i="1"/>
  <c r="AI442" i="1"/>
  <c r="AG442" i="1"/>
  <c r="AY442" i="1" s="1"/>
  <c r="AA442" i="1"/>
  <c r="V442" i="1"/>
  <c r="X442" i="1" s="1"/>
  <c r="BJ441" i="1"/>
  <c r="BI441" i="1"/>
  <c r="BH441" i="1"/>
  <c r="BE441" i="1"/>
  <c r="BM441" i="1" s="1"/>
  <c r="AJ441" i="1"/>
  <c r="AI441" i="1"/>
  <c r="AG441" i="1"/>
  <c r="AA441" i="1"/>
  <c r="V441" i="1"/>
  <c r="X441" i="1" s="1"/>
  <c r="BJ440" i="1"/>
  <c r="BI440" i="1"/>
  <c r="BH440" i="1"/>
  <c r="BE440" i="1"/>
  <c r="AV440" i="1"/>
  <c r="AJ440" i="1"/>
  <c r="AI440" i="1"/>
  <c r="AG440" i="1"/>
  <c r="AX440" i="1" s="1"/>
  <c r="AA440" i="1"/>
  <c r="AC440" i="1" s="1"/>
  <c r="V440" i="1"/>
  <c r="X440" i="1" s="1"/>
  <c r="BJ439" i="1"/>
  <c r="BI439" i="1"/>
  <c r="BH439" i="1"/>
  <c r="BE439" i="1"/>
  <c r="BM439" i="1" s="1"/>
  <c r="AJ439" i="1"/>
  <c r="AI439" i="1"/>
  <c r="AG439" i="1"/>
  <c r="AA439" i="1"/>
  <c r="AB439" i="1" s="1"/>
  <c r="V439" i="1"/>
  <c r="X439" i="1" s="1"/>
  <c r="BJ438" i="1"/>
  <c r="BI438" i="1"/>
  <c r="BH438" i="1"/>
  <c r="BE438" i="1"/>
  <c r="AJ438" i="1"/>
  <c r="AI438" i="1"/>
  <c r="AG438" i="1"/>
  <c r="AA438" i="1"/>
  <c r="V438" i="1"/>
  <c r="X438" i="1" s="1"/>
  <c r="BJ437" i="1"/>
  <c r="BI437" i="1"/>
  <c r="BH437" i="1"/>
  <c r="BE437" i="1"/>
  <c r="AJ437" i="1"/>
  <c r="AI437" i="1"/>
  <c r="AG437" i="1"/>
  <c r="AY437" i="1" s="1"/>
  <c r="AA437" i="1"/>
  <c r="V437" i="1"/>
  <c r="X437" i="1" s="1"/>
  <c r="BJ436" i="1"/>
  <c r="BI436" i="1"/>
  <c r="BH436" i="1"/>
  <c r="BE436" i="1"/>
  <c r="AJ436" i="1"/>
  <c r="AI436" i="1"/>
  <c r="AG436" i="1"/>
  <c r="AA436" i="1"/>
  <c r="AB436" i="1" s="1"/>
  <c r="V436" i="1"/>
  <c r="X436" i="1" s="1"/>
  <c r="AJ435" i="1"/>
  <c r="AI435" i="1"/>
  <c r="AG435" i="1"/>
  <c r="AA435" i="1"/>
  <c r="AC435" i="1" s="1"/>
  <c r="BJ434" i="1"/>
  <c r="BI434" i="1"/>
  <c r="BH434" i="1"/>
  <c r="BE434" i="1"/>
  <c r="BM434" i="1" s="1"/>
  <c r="AJ434" i="1"/>
  <c r="AF434" i="1"/>
  <c r="AI434" i="1" s="1"/>
  <c r="AE434" i="1"/>
  <c r="AD434" i="1"/>
  <c r="AA434" i="1"/>
  <c r="V434" i="1"/>
  <c r="X434" i="1" s="1"/>
  <c r="BJ433" i="1"/>
  <c r="BI433" i="1"/>
  <c r="BH433" i="1"/>
  <c r="BE433" i="1"/>
  <c r="AJ433" i="1"/>
  <c r="AI433" i="1"/>
  <c r="AG433" i="1"/>
  <c r="AA433" i="1"/>
  <c r="V433" i="1"/>
  <c r="X433" i="1" s="1"/>
  <c r="BJ432" i="1"/>
  <c r="BI432" i="1"/>
  <c r="BH432" i="1"/>
  <c r="BE432" i="1"/>
  <c r="AJ432" i="1"/>
  <c r="AI432" i="1"/>
  <c r="AG432" i="1"/>
  <c r="AY432" i="1" s="1"/>
  <c r="AA432" i="1"/>
  <c r="AC432" i="1" s="1"/>
  <c r="V432" i="1"/>
  <c r="X432" i="1" s="1"/>
  <c r="BJ431" i="1"/>
  <c r="BI431" i="1"/>
  <c r="BH431" i="1"/>
  <c r="BE431" i="1"/>
  <c r="BM431" i="1" s="1"/>
  <c r="AJ431" i="1"/>
  <c r="AI431" i="1"/>
  <c r="AG431" i="1"/>
  <c r="AA431" i="1"/>
  <c r="V431" i="1"/>
  <c r="X431" i="1" s="1"/>
  <c r="BJ430" i="1"/>
  <c r="BI430" i="1"/>
  <c r="BH430" i="1"/>
  <c r="BE430" i="1"/>
  <c r="AV430" i="1"/>
  <c r="AJ430" i="1"/>
  <c r="AI430" i="1"/>
  <c r="AG430" i="1"/>
  <c r="AA430" i="1"/>
  <c r="V430" i="1"/>
  <c r="X430" i="1" s="1"/>
  <c r="BJ429" i="1"/>
  <c r="BI429" i="1"/>
  <c r="BH429" i="1"/>
  <c r="BE429" i="1"/>
  <c r="BM429" i="1" s="1"/>
  <c r="AJ429" i="1"/>
  <c r="AI429" i="1"/>
  <c r="AG429" i="1"/>
  <c r="AX429" i="1" s="1"/>
  <c r="AA429" i="1"/>
  <c r="AC429" i="1" s="1"/>
  <c r="V429" i="1"/>
  <c r="X429" i="1" s="1"/>
  <c r="BJ428" i="1"/>
  <c r="BI428" i="1"/>
  <c r="BH428" i="1"/>
  <c r="BE428" i="1"/>
  <c r="BM428" i="1" s="1"/>
  <c r="AV428" i="1"/>
  <c r="AJ428" i="1"/>
  <c r="AI428" i="1"/>
  <c r="AG428" i="1"/>
  <c r="AY428" i="1" s="1"/>
  <c r="AA428" i="1"/>
  <c r="V428" i="1"/>
  <c r="X428" i="1" s="1"/>
  <c r="AJ427" i="1"/>
  <c r="AI427" i="1"/>
  <c r="AG427" i="1"/>
  <c r="AA427" i="1"/>
  <c r="BJ426" i="1"/>
  <c r="BI426" i="1"/>
  <c r="BH426" i="1"/>
  <c r="BE426" i="1"/>
  <c r="AV426" i="1"/>
  <c r="AJ426" i="1"/>
  <c r="AF426" i="1"/>
  <c r="AI426" i="1" s="1"/>
  <c r="AE426" i="1"/>
  <c r="AD426" i="1"/>
  <c r="AA426" i="1"/>
  <c r="V426" i="1"/>
  <c r="X426" i="1" s="1"/>
  <c r="BJ425" i="1"/>
  <c r="BI425" i="1"/>
  <c r="BH425" i="1"/>
  <c r="BE425" i="1"/>
  <c r="BM425" i="1" s="1"/>
  <c r="AJ425" i="1"/>
  <c r="AI425" i="1"/>
  <c r="AG425" i="1"/>
  <c r="AX425" i="1" s="1"/>
  <c r="AA425" i="1"/>
  <c r="AC425" i="1" s="1"/>
  <c r="V425" i="1"/>
  <c r="X425" i="1" s="1"/>
  <c r="AJ424" i="1"/>
  <c r="AI424" i="1"/>
  <c r="AG424" i="1"/>
  <c r="AA424" i="1"/>
  <c r="AC424" i="1" s="1"/>
  <c r="BJ423" i="1"/>
  <c r="BI423" i="1"/>
  <c r="BH423" i="1"/>
  <c r="BE423" i="1"/>
  <c r="AJ423" i="1"/>
  <c r="AF423" i="1"/>
  <c r="AE423" i="1"/>
  <c r="AD423" i="1"/>
  <c r="AA423" i="1"/>
  <c r="V423" i="1"/>
  <c r="X423" i="1" s="1"/>
  <c r="BJ422" i="1"/>
  <c r="BI422" i="1"/>
  <c r="BH422" i="1"/>
  <c r="BE422" i="1"/>
  <c r="BM422" i="1" s="1"/>
  <c r="AJ422" i="1"/>
  <c r="AI422" i="1"/>
  <c r="AG422" i="1"/>
  <c r="AA422" i="1"/>
  <c r="V422" i="1"/>
  <c r="X422" i="1" s="1"/>
  <c r="BJ421" i="1"/>
  <c r="BI421" i="1"/>
  <c r="BH421" i="1"/>
  <c r="BE421" i="1"/>
  <c r="BM421" i="1" s="1"/>
  <c r="AJ421" i="1"/>
  <c r="AI421" i="1"/>
  <c r="AG421" i="1"/>
  <c r="AA421" i="1"/>
  <c r="AB421" i="1" s="1"/>
  <c r="V421" i="1"/>
  <c r="X421" i="1" s="1"/>
  <c r="BJ420" i="1"/>
  <c r="BI420" i="1"/>
  <c r="BH420" i="1"/>
  <c r="BE420" i="1"/>
  <c r="AJ420" i="1"/>
  <c r="AI420" i="1"/>
  <c r="AG420" i="1"/>
  <c r="AA420" i="1"/>
  <c r="AB420" i="1" s="1"/>
  <c r="V420" i="1"/>
  <c r="X420" i="1" s="1"/>
  <c r="BJ419" i="1"/>
  <c r="BI419" i="1"/>
  <c r="BH419" i="1"/>
  <c r="BE419" i="1"/>
  <c r="BM419" i="1" s="1"/>
  <c r="AJ419" i="1"/>
  <c r="AI419" i="1"/>
  <c r="AG419" i="1"/>
  <c r="AA419" i="1"/>
  <c r="AC419" i="1" s="1"/>
  <c r="V419" i="1"/>
  <c r="X419" i="1" s="1"/>
  <c r="BJ418" i="1"/>
  <c r="BI418" i="1"/>
  <c r="BH418" i="1"/>
  <c r="BE418" i="1"/>
  <c r="AJ418" i="1"/>
  <c r="AI418" i="1"/>
  <c r="AG418" i="1"/>
  <c r="AA418" i="1"/>
  <c r="AC418" i="1" s="1"/>
  <c r="V418" i="1"/>
  <c r="X418" i="1" s="1"/>
  <c r="BJ417" i="1"/>
  <c r="BI417" i="1"/>
  <c r="BH417" i="1"/>
  <c r="BE417" i="1"/>
  <c r="BM417" i="1" s="1"/>
  <c r="AJ417" i="1"/>
  <c r="AI417" i="1"/>
  <c r="AG417" i="1"/>
  <c r="AX417" i="1" s="1"/>
  <c r="AA417" i="1"/>
  <c r="AC417" i="1" s="1"/>
  <c r="V417" i="1"/>
  <c r="X417" i="1" s="1"/>
  <c r="BJ416" i="1"/>
  <c r="BI416" i="1"/>
  <c r="BH416" i="1"/>
  <c r="BE416" i="1"/>
  <c r="AJ416" i="1"/>
  <c r="AI416" i="1"/>
  <c r="AG416" i="1"/>
  <c r="AA416" i="1"/>
  <c r="AC416" i="1" s="1"/>
  <c r="V416" i="1"/>
  <c r="X416" i="1" s="1"/>
  <c r="BJ415" i="1"/>
  <c r="BI415" i="1"/>
  <c r="BH415" i="1"/>
  <c r="BE415" i="1"/>
  <c r="AV415" i="1"/>
  <c r="AJ415" i="1"/>
  <c r="AI415" i="1"/>
  <c r="AG415" i="1"/>
  <c r="AX415" i="1" s="1"/>
  <c r="AA415" i="1"/>
  <c r="AB415" i="1" s="1"/>
  <c r="V415" i="1"/>
  <c r="X415" i="1" s="1"/>
  <c r="BJ414" i="1"/>
  <c r="BI414" i="1"/>
  <c r="BH414" i="1"/>
  <c r="BE414" i="1"/>
  <c r="BM414" i="1" s="1"/>
  <c r="AJ414" i="1"/>
  <c r="AI414" i="1"/>
  <c r="AG414" i="1"/>
  <c r="AX414" i="1" s="1"/>
  <c r="AA414" i="1"/>
  <c r="V414" i="1"/>
  <c r="X414" i="1" s="1"/>
  <c r="BJ413" i="1"/>
  <c r="BI413" i="1"/>
  <c r="BH413" i="1"/>
  <c r="BE413" i="1"/>
  <c r="AJ413" i="1"/>
  <c r="AI413" i="1"/>
  <c r="AG413" i="1"/>
  <c r="AX413" i="1" s="1"/>
  <c r="AA413" i="1"/>
  <c r="AC413" i="1" s="1"/>
  <c r="V413" i="1"/>
  <c r="X413" i="1" s="1"/>
  <c r="BJ412" i="1"/>
  <c r="BI412" i="1"/>
  <c r="BH412" i="1"/>
  <c r="BE412" i="1"/>
  <c r="AV412" i="1"/>
  <c r="AJ412" i="1"/>
  <c r="AI412" i="1"/>
  <c r="AG412" i="1"/>
  <c r="AY412" i="1" s="1"/>
  <c r="AA412" i="1"/>
  <c r="V412" i="1"/>
  <c r="X412" i="1" s="1"/>
  <c r="BJ411" i="1"/>
  <c r="BI411" i="1"/>
  <c r="BH411" i="1"/>
  <c r="BE411" i="1"/>
  <c r="BM411" i="1" s="1"/>
  <c r="AJ411" i="1"/>
  <c r="AI411" i="1"/>
  <c r="AG411" i="1"/>
  <c r="AA411" i="1"/>
  <c r="AB411" i="1" s="1"/>
  <c r="V411" i="1"/>
  <c r="X411" i="1" s="1"/>
  <c r="BJ410" i="1"/>
  <c r="BI410" i="1"/>
  <c r="BH410" i="1"/>
  <c r="BE410" i="1"/>
  <c r="AJ410" i="1"/>
  <c r="AI410" i="1"/>
  <c r="AG410" i="1"/>
  <c r="AX410" i="1" s="1"/>
  <c r="AA410" i="1"/>
  <c r="V410" i="1"/>
  <c r="X410" i="1" s="1"/>
  <c r="BJ409" i="1"/>
  <c r="BI409" i="1"/>
  <c r="BH409" i="1"/>
  <c r="BE409" i="1"/>
  <c r="AJ409" i="1"/>
  <c r="AI409" i="1"/>
  <c r="AG409" i="1"/>
  <c r="AA409" i="1"/>
  <c r="V409" i="1"/>
  <c r="X409" i="1" s="1"/>
  <c r="BJ408" i="1"/>
  <c r="BI408" i="1"/>
  <c r="BH408" i="1"/>
  <c r="BE408" i="1"/>
  <c r="BM408" i="1" s="1"/>
  <c r="AJ408" i="1"/>
  <c r="AI408" i="1"/>
  <c r="AG408" i="1"/>
  <c r="AY408" i="1" s="1"/>
  <c r="AA408" i="1"/>
  <c r="AC408" i="1" s="1"/>
  <c r="V408" i="1"/>
  <c r="X408" i="1" s="1"/>
  <c r="BJ407" i="1"/>
  <c r="BI407" i="1"/>
  <c r="BH407" i="1"/>
  <c r="BE407" i="1"/>
  <c r="BM407" i="1" s="1"/>
  <c r="AV407" i="1"/>
  <c r="AJ407" i="1"/>
  <c r="AI407" i="1"/>
  <c r="AG407" i="1"/>
  <c r="AA407" i="1"/>
  <c r="V407" i="1"/>
  <c r="X407" i="1" s="1"/>
  <c r="BJ406" i="1"/>
  <c r="BI406" i="1"/>
  <c r="BH406" i="1"/>
  <c r="BE406" i="1"/>
  <c r="BM406" i="1" s="1"/>
  <c r="AV406" i="1"/>
  <c r="AJ406" i="1"/>
  <c r="AI406" i="1"/>
  <c r="AG406" i="1"/>
  <c r="AA406" i="1"/>
  <c r="AC406" i="1" s="1"/>
  <c r="V406" i="1"/>
  <c r="X406" i="1" s="1"/>
  <c r="BJ405" i="1"/>
  <c r="BI405" i="1"/>
  <c r="BH405" i="1"/>
  <c r="BE405" i="1"/>
  <c r="BM405" i="1" s="1"/>
  <c r="AV405" i="1"/>
  <c r="AJ405" i="1"/>
  <c r="AI405" i="1"/>
  <c r="AG405" i="1"/>
  <c r="AA405" i="1"/>
  <c r="AC405" i="1" s="1"/>
  <c r="V405" i="1"/>
  <c r="X405" i="1" s="1"/>
  <c r="BJ404" i="1"/>
  <c r="BI404" i="1"/>
  <c r="BH404" i="1"/>
  <c r="BE404" i="1"/>
  <c r="BM404" i="1" s="1"/>
  <c r="AV404" i="1"/>
  <c r="AJ404" i="1"/>
  <c r="AI404" i="1"/>
  <c r="AG404" i="1"/>
  <c r="AA404" i="1"/>
  <c r="V404" i="1"/>
  <c r="X404" i="1" s="1"/>
  <c r="BJ403" i="1"/>
  <c r="BI403" i="1"/>
  <c r="BH403" i="1"/>
  <c r="BE403" i="1"/>
  <c r="BM403" i="1" s="1"/>
  <c r="AJ403" i="1"/>
  <c r="AI403" i="1"/>
  <c r="AG403" i="1"/>
  <c r="AA403" i="1"/>
  <c r="AC403" i="1" s="1"/>
  <c r="V403" i="1"/>
  <c r="X403" i="1" s="1"/>
  <c r="BJ402" i="1"/>
  <c r="BI402" i="1"/>
  <c r="BH402" i="1"/>
  <c r="BE402" i="1"/>
  <c r="AV402" i="1"/>
  <c r="AJ402" i="1"/>
  <c r="AI402" i="1"/>
  <c r="AG402" i="1"/>
  <c r="AY402" i="1" s="1"/>
  <c r="AA402" i="1"/>
  <c r="V402" i="1"/>
  <c r="X402" i="1" s="1"/>
  <c r="BJ401" i="1"/>
  <c r="BI401" i="1"/>
  <c r="BH401" i="1"/>
  <c r="BE401" i="1"/>
  <c r="AV401" i="1"/>
  <c r="AJ401" i="1"/>
  <c r="AI401" i="1"/>
  <c r="AG401" i="1"/>
  <c r="AA401" i="1"/>
  <c r="AC401" i="1" s="1"/>
  <c r="V401" i="1"/>
  <c r="X401" i="1" s="1"/>
  <c r="BJ400" i="1"/>
  <c r="BI400" i="1"/>
  <c r="BH400" i="1"/>
  <c r="BE400" i="1"/>
  <c r="AV400" i="1"/>
  <c r="AJ400" i="1"/>
  <c r="AI400" i="1"/>
  <c r="AG400" i="1"/>
  <c r="AA400" i="1"/>
  <c r="V400" i="1"/>
  <c r="X400" i="1" s="1"/>
  <c r="BJ399" i="1"/>
  <c r="BI399" i="1"/>
  <c r="BH399" i="1"/>
  <c r="BE399" i="1"/>
  <c r="AJ399" i="1"/>
  <c r="AI399" i="1"/>
  <c r="AG399" i="1"/>
  <c r="AA399" i="1"/>
  <c r="V399" i="1"/>
  <c r="X399" i="1" s="1"/>
  <c r="BJ398" i="1"/>
  <c r="BI398" i="1"/>
  <c r="BH398" i="1"/>
  <c r="BE398" i="1"/>
  <c r="AJ398" i="1"/>
  <c r="AI398" i="1"/>
  <c r="AG398" i="1"/>
  <c r="AX398" i="1" s="1"/>
  <c r="AA398" i="1"/>
  <c r="AB398" i="1" s="1"/>
  <c r="V398" i="1"/>
  <c r="X398" i="1" s="1"/>
  <c r="BJ397" i="1"/>
  <c r="BI397" i="1"/>
  <c r="BH397" i="1"/>
  <c r="BE397" i="1"/>
  <c r="BM397" i="1" s="1"/>
  <c r="AJ397" i="1"/>
  <c r="AI397" i="1"/>
  <c r="AG397" i="1"/>
  <c r="AX397" i="1" s="1"/>
  <c r="AA397" i="1"/>
  <c r="AC397" i="1" s="1"/>
  <c r="V397" i="1"/>
  <c r="X397" i="1" s="1"/>
  <c r="BJ396" i="1"/>
  <c r="BI396" i="1"/>
  <c r="BH396" i="1"/>
  <c r="BE396" i="1"/>
  <c r="AJ396" i="1"/>
  <c r="AI396" i="1"/>
  <c r="AG396" i="1"/>
  <c r="AA396" i="1"/>
  <c r="AC396" i="1" s="1"/>
  <c r="V396" i="1"/>
  <c r="X396" i="1" s="1"/>
  <c r="BJ395" i="1"/>
  <c r="BI395" i="1"/>
  <c r="BH395" i="1"/>
  <c r="BE395" i="1"/>
  <c r="BM395" i="1" s="1"/>
  <c r="AJ395" i="1"/>
  <c r="AI395" i="1"/>
  <c r="AG395" i="1"/>
  <c r="AA395" i="1"/>
  <c r="V395" i="1"/>
  <c r="X395" i="1" s="1"/>
  <c r="BJ394" i="1"/>
  <c r="BI394" i="1"/>
  <c r="BH394" i="1"/>
  <c r="BE394" i="1"/>
  <c r="AV394" i="1"/>
  <c r="AJ394" i="1"/>
  <c r="AI394" i="1"/>
  <c r="AG394" i="1"/>
  <c r="AA394" i="1"/>
  <c r="AC394" i="1" s="1"/>
  <c r="V394" i="1"/>
  <c r="X394" i="1" s="1"/>
  <c r="BJ393" i="1"/>
  <c r="BI393" i="1"/>
  <c r="BH393" i="1"/>
  <c r="BE393" i="1"/>
  <c r="BM393" i="1" s="1"/>
  <c r="AV393" i="1"/>
  <c r="AJ393" i="1"/>
  <c r="AI393" i="1"/>
  <c r="AG393" i="1"/>
  <c r="AY393" i="1" s="1"/>
  <c r="AA393" i="1"/>
  <c r="V393" i="1"/>
  <c r="X393" i="1" s="1"/>
  <c r="BJ392" i="1"/>
  <c r="BI392" i="1"/>
  <c r="BH392" i="1"/>
  <c r="BE392" i="1"/>
  <c r="BM392" i="1" s="1"/>
  <c r="AJ392" i="1"/>
  <c r="AI392" i="1"/>
  <c r="AG392" i="1"/>
  <c r="AA392" i="1"/>
  <c r="V392" i="1"/>
  <c r="X392" i="1" s="1"/>
  <c r="BJ391" i="1"/>
  <c r="BI391" i="1"/>
  <c r="BH391" i="1"/>
  <c r="BE391" i="1"/>
  <c r="AV391" i="1"/>
  <c r="AJ391" i="1"/>
  <c r="AI391" i="1"/>
  <c r="AG391" i="1"/>
  <c r="AA391" i="1"/>
  <c r="V391" i="1"/>
  <c r="X391" i="1" s="1"/>
  <c r="BJ390" i="1"/>
  <c r="BI390" i="1"/>
  <c r="BH390" i="1"/>
  <c r="BE390" i="1"/>
  <c r="BM390" i="1" s="1"/>
  <c r="AV390" i="1"/>
  <c r="AJ390" i="1"/>
  <c r="AI390" i="1"/>
  <c r="AG390" i="1"/>
  <c r="AA390" i="1"/>
  <c r="AC390" i="1" s="1"/>
  <c r="V390" i="1"/>
  <c r="X390" i="1" s="1"/>
  <c r="BJ389" i="1"/>
  <c r="BI389" i="1"/>
  <c r="BH389" i="1"/>
  <c r="BE389" i="1"/>
  <c r="AJ389" i="1"/>
  <c r="AI389" i="1"/>
  <c r="AG389" i="1"/>
  <c r="AA389" i="1"/>
  <c r="AC389" i="1" s="1"/>
  <c r="V389" i="1"/>
  <c r="X389" i="1" s="1"/>
  <c r="BJ388" i="1"/>
  <c r="BI388" i="1"/>
  <c r="BH388" i="1"/>
  <c r="BE388" i="1"/>
  <c r="BM388" i="1" s="1"/>
  <c r="AJ388" i="1"/>
  <c r="AI388" i="1"/>
  <c r="AG388" i="1"/>
  <c r="AA388" i="1"/>
  <c r="AB388" i="1" s="1"/>
  <c r="V388" i="1"/>
  <c r="X388" i="1" s="1"/>
  <c r="BJ387" i="1"/>
  <c r="BI387" i="1"/>
  <c r="BH387" i="1"/>
  <c r="BE387" i="1"/>
  <c r="AJ387" i="1"/>
  <c r="AI387" i="1"/>
  <c r="AG387" i="1"/>
  <c r="AY387" i="1" s="1"/>
  <c r="AA387" i="1"/>
  <c r="AC387" i="1" s="1"/>
  <c r="V387" i="1"/>
  <c r="X387" i="1" s="1"/>
  <c r="BJ386" i="1"/>
  <c r="BI386" i="1"/>
  <c r="BH386" i="1"/>
  <c r="BE386" i="1"/>
  <c r="BM386" i="1" s="1"/>
  <c r="AV386" i="1"/>
  <c r="AJ386" i="1"/>
  <c r="AI386" i="1"/>
  <c r="AG386" i="1"/>
  <c r="AY386" i="1" s="1"/>
  <c r="AA386" i="1"/>
  <c r="V386" i="1"/>
  <c r="X386" i="1" s="1"/>
  <c r="AJ385" i="1"/>
  <c r="AI385" i="1"/>
  <c r="AG385" i="1"/>
  <c r="AA385" i="1"/>
  <c r="AB385" i="1" s="1"/>
  <c r="BJ384" i="1"/>
  <c r="BI384" i="1"/>
  <c r="BH384" i="1"/>
  <c r="BE384" i="1"/>
  <c r="BM384" i="1" s="1"/>
  <c r="AV384" i="1"/>
  <c r="AJ384" i="1"/>
  <c r="AI384" i="1"/>
  <c r="AG384" i="1"/>
  <c r="AA384" i="1"/>
  <c r="AC384" i="1" s="1"/>
  <c r="V384" i="1"/>
  <c r="X384" i="1" s="1"/>
  <c r="BJ383" i="1"/>
  <c r="BI383" i="1"/>
  <c r="BH383" i="1"/>
  <c r="BE383" i="1"/>
  <c r="BM383" i="1" s="1"/>
  <c r="AJ383" i="1"/>
  <c r="AI383" i="1"/>
  <c r="AG383" i="1"/>
  <c r="AY383" i="1" s="1"/>
  <c r="AA383" i="1"/>
  <c r="AB383" i="1" s="1"/>
  <c r="V383" i="1"/>
  <c r="X383" i="1" s="1"/>
  <c r="AJ382" i="1"/>
  <c r="AI382" i="1"/>
  <c r="AG382" i="1"/>
  <c r="AA382" i="1"/>
  <c r="AB382" i="1" s="1"/>
  <c r="BJ381" i="1"/>
  <c r="BI381" i="1"/>
  <c r="BH381" i="1"/>
  <c r="BE381" i="1"/>
  <c r="AJ381" i="1"/>
  <c r="AF381" i="1"/>
  <c r="AE381" i="1"/>
  <c r="AD381" i="1"/>
  <c r="AA381" i="1"/>
  <c r="V381" i="1"/>
  <c r="X381" i="1" s="1"/>
  <c r="BJ380" i="1"/>
  <c r="BI380" i="1"/>
  <c r="BH380" i="1"/>
  <c r="BE380" i="1"/>
  <c r="BM380" i="1" s="1"/>
  <c r="AJ380" i="1"/>
  <c r="AI380" i="1"/>
  <c r="AG380" i="1"/>
  <c r="AY380" i="1" s="1"/>
  <c r="AA380" i="1"/>
  <c r="V380" i="1"/>
  <c r="X380" i="1" s="1"/>
  <c r="BJ379" i="1"/>
  <c r="BI379" i="1"/>
  <c r="BH379" i="1"/>
  <c r="BE379" i="1"/>
  <c r="BM379" i="1" s="1"/>
  <c r="AJ379" i="1"/>
  <c r="AI379" i="1"/>
  <c r="AG379" i="1"/>
  <c r="AA379" i="1"/>
  <c r="V379" i="1"/>
  <c r="X379" i="1" s="1"/>
  <c r="BJ378" i="1"/>
  <c r="BI378" i="1"/>
  <c r="BH378" i="1"/>
  <c r="BE378" i="1"/>
  <c r="AJ378" i="1"/>
  <c r="AI378" i="1"/>
  <c r="AG378" i="1"/>
  <c r="AA378" i="1"/>
  <c r="V378" i="1"/>
  <c r="X378" i="1" s="1"/>
  <c r="BJ377" i="1"/>
  <c r="BI377" i="1"/>
  <c r="BH377" i="1"/>
  <c r="BE377" i="1"/>
  <c r="AJ377" i="1"/>
  <c r="AI377" i="1"/>
  <c r="AG377" i="1"/>
  <c r="AX377" i="1" s="1"/>
  <c r="AA377" i="1"/>
  <c r="AC377" i="1" s="1"/>
  <c r="V377" i="1"/>
  <c r="X377" i="1" s="1"/>
  <c r="BJ376" i="1"/>
  <c r="BI376" i="1"/>
  <c r="BH376" i="1"/>
  <c r="BE376" i="1"/>
  <c r="BM376" i="1" s="1"/>
  <c r="AJ376" i="1"/>
  <c r="AI376" i="1"/>
  <c r="AG376" i="1"/>
  <c r="AY376" i="1" s="1"/>
  <c r="AA376" i="1"/>
  <c r="AC376" i="1" s="1"/>
  <c r="V376" i="1"/>
  <c r="X376" i="1" s="1"/>
  <c r="BJ375" i="1"/>
  <c r="BI375" i="1"/>
  <c r="BH375" i="1"/>
  <c r="BE375" i="1"/>
  <c r="BM375" i="1" s="1"/>
  <c r="AJ375" i="1"/>
  <c r="AI375" i="1"/>
  <c r="AG375" i="1"/>
  <c r="AY375" i="1" s="1"/>
  <c r="AA375" i="1"/>
  <c r="V375" i="1"/>
  <c r="X375" i="1" s="1"/>
  <c r="BJ374" i="1"/>
  <c r="BI374" i="1"/>
  <c r="BH374" i="1"/>
  <c r="BE374" i="1"/>
  <c r="BM374" i="1" s="1"/>
  <c r="AJ374" i="1"/>
  <c r="AI374" i="1"/>
  <c r="AG374" i="1"/>
  <c r="AX374" i="1" s="1"/>
  <c r="AA374" i="1"/>
  <c r="V374" i="1"/>
  <c r="X374" i="1" s="1"/>
  <c r="BJ373" i="1"/>
  <c r="BI373" i="1"/>
  <c r="BH373" i="1"/>
  <c r="BE373" i="1"/>
  <c r="AV373" i="1"/>
  <c r="AJ373" i="1"/>
  <c r="AI373" i="1"/>
  <c r="AG373" i="1"/>
  <c r="AY373" i="1" s="1"/>
  <c r="AA373" i="1"/>
  <c r="V373" i="1"/>
  <c r="X373" i="1" s="1"/>
  <c r="BJ372" i="1"/>
  <c r="BI372" i="1"/>
  <c r="BH372" i="1"/>
  <c r="BE372" i="1"/>
  <c r="AV372" i="1"/>
  <c r="AJ372" i="1"/>
  <c r="AI372" i="1"/>
  <c r="AG372" i="1"/>
  <c r="AA372" i="1"/>
  <c r="V372" i="1"/>
  <c r="X372" i="1" s="1"/>
  <c r="BJ371" i="1"/>
  <c r="BI371" i="1"/>
  <c r="BH371" i="1"/>
  <c r="BE371" i="1"/>
  <c r="AJ371" i="1"/>
  <c r="AI371" i="1"/>
  <c r="AG371" i="1"/>
  <c r="AY371" i="1" s="1"/>
  <c r="AA371" i="1"/>
  <c r="V371" i="1"/>
  <c r="X371" i="1" s="1"/>
  <c r="BJ370" i="1"/>
  <c r="BI370" i="1"/>
  <c r="BH370" i="1"/>
  <c r="BE370" i="1"/>
  <c r="AJ370" i="1"/>
  <c r="AI370" i="1"/>
  <c r="AG370" i="1"/>
  <c r="AX370" i="1" s="1"/>
  <c r="AA370" i="1"/>
  <c r="V370" i="1"/>
  <c r="X370" i="1" s="1"/>
  <c r="BJ369" i="1"/>
  <c r="BI369" i="1"/>
  <c r="BH369" i="1"/>
  <c r="BE369" i="1"/>
  <c r="BM369" i="1" s="1"/>
  <c r="AV369" i="1"/>
  <c r="AJ369" i="1"/>
  <c r="AI369" i="1"/>
  <c r="AG369" i="1"/>
  <c r="AA369" i="1"/>
  <c r="V369" i="1"/>
  <c r="X369" i="1" s="1"/>
  <c r="BJ368" i="1"/>
  <c r="BI368" i="1"/>
  <c r="BH368" i="1"/>
  <c r="BE368" i="1"/>
  <c r="AJ368" i="1"/>
  <c r="AI368" i="1"/>
  <c r="AG368" i="1"/>
  <c r="AY368" i="1" s="1"/>
  <c r="AA368" i="1"/>
  <c r="V368" i="1"/>
  <c r="X368" i="1" s="1"/>
  <c r="AJ367" i="1"/>
  <c r="AI367" i="1"/>
  <c r="AG367" i="1"/>
  <c r="AA367" i="1"/>
  <c r="AB367" i="1" s="1"/>
  <c r="BJ366" i="1"/>
  <c r="BI366" i="1"/>
  <c r="BH366" i="1"/>
  <c r="BE366" i="1"/>
  <c r="BM366" i="1" s="1"/>
  <c r="AV366" i="1"/>
  <c r="AJ366" i="1"/>
  <c r="AF366" i="1"/>
  <c r="AI366" i="1" s="1"/>
  <c r="AE366" i="1"/>
  <c r="AD366" i="1"/>
  <c r="AA366" i="1"/>
  <c r="V366" i="1"/>
  <c r="X366" i="1" s="1"/>
  <c r="BJ365" i="1"/>
  <c r="BI365" i="1"/>
  <c r="BH365" i="1"/>
  <c r="BE365" i="1"/>
  <c r="AJ365" i="1"/>
  <c r="AI365" i="1"/>
  <c r="AG365" i="1"/>
  <c r="AA365" i="1"/>
  <c r="AC365" i="1" s="1"/>
  <c r="V365" i="1"/>
  <c r="X365" i="1" s="1"/>
  <c r="BJ364" i="1"/>
  <c r="BI364" i="1"/>
  <c r="BH364" i="1"/>
  <c r="BE364" i="1"/>
  <c r="AV364" i="1"/>
  <c r="AJ364" i="1"/>
  <c r="AI364" i="1"/>
  <c r="AG364" i="1"/>
  <c r="AY364" i="1" s="1"/>
  <c r="AA364" i="1"/>
  <c r="AB364" i="1" s="1"/>
  <c r="V364" i="1"/>
  <c r="X364" i="1" s="1"/>
  <c r="BJ363" i="1"/>
  <c r="BI363" i="1"/>
  <c r="BH363" i="1"/>
  <c r="BE363" i="1"/>
  <c r="BM363" i="1" s="1"/>
  <c r="AJ363" i="1"/>
  <c r="AI363" i="1"/>
  <c r="AG363" i="1"/>
  <c r="AY363" i="1" s="1"/>
  <c r="AA363" i="1"/>
  <c r="AB363" i="1" s="1"/>
  <c r="V363" i="1"/>
  <c r="X363" i="1" s="1"/>
  <c r="BJ362" i="1"/>
  <c r="BI362" i="1"/>
  <c r="BH362" i="1"/>
  <c r="BE362" i="1"/>
  <c r="BM362" i="1" s="1"/>
  <c r="AV362" i="1"/>
  <c r="AJ362" i="1"/>
  <c r="AI362" i="1"/>
  <c r="AG362" i="1"/>
  <c r="AA362" i="1"/>
  <c r="AC362" i="1" s="1"/>
  <c r="V362" i="1"/>
  <c r="X362" i="1" s="1"/>
  <c r="BJ361" i="1"/>
  <c r="BI361" i="1"/>
  <c r="BH361" i="1"/>
  <c r="BE361" i="1"/>
  <c r="BM361" i="1" s="1"/>
  <c r="AJ361" i="1"/>
  <c r="AI361" i="1"/>
  <c r="AG361" i="1"/>
  <c r="AY361" i="1" s="1"/>
  <c r="AA361" i="1"/>
  <c r="AB361" i="1" s="1"/>
  <c r="V361" i="1"/>
  <c r="X361" i="1" s="1"/>
  <c r="BJ360" i="1"/>
  <c r="BI360" i="1"/>
  <c r="BH360" i="1"/>
  <c r="BE360" i="1"/>
  <c r="BM360" i="1" s="1"/>
  <c r="AV360" i="1"/>
  <c r="AJ360" i="1"/>
  <c r="AI360" i="1"/>
  <c r="AG360" i="1"/>
  <c r="AA360" i="1"/>
  <c r="AB360" i="1" s="1"/>
  <c r="V360" i="1"/>
  <c r="X360" i="1" s="1"/>
  <c r="BJ359" i="1"/>
  <c r="BI359" i="1"/>
  <c r="BH359" i="1"/>
  <c r="BE359" i="1"/>
  <c r="AJ359" i="1"/>
  <c r="AI359" i="1"/>
  <c r="AG359" i="1"/>
  <c r="AA359" i="1"/>
  <c r="AB359" i="1" s="1"/>
  <c r="V359" i="1"/>
  <c r="X359" i="1" s="1"/>
  <c r="BJ358" i="1"/>
  <c r="BI358" i="1"/>
  <c r="BH358" i="1"/>
  <c r="BE358" i="1"/>
  <c r="BM358" i="1" s="1"/>
  <c r="AJ358" i="1"/>
  <c r="AI358" i="1"/>
  <c r="AG358" i="1"/>
  <c r="AX358" i="1" s="1"/>
  <c r="AA358" i="1"/>
  <c r="V358" i="1"/>
  <c r="X358" i="1" s="1"/>
  <c r="AJ357" i="1"/>
  <c r="AI357" i="1"/>
  <c r="AG357" i="1"/>
  <c r="AA357" i="1"/>
  <c r="AC357" i="1" s="1"/>
  <c r="BJ356" i="1"/>
  <c r="BI356" i="1"/>
  <c r="BH356" i="1"/>
  <c r="BE356" i="1"/>
  <c r="BM356" i="1" s="1"/>
  <c r="AV356" i="1"/>
  <c r="AJ356" i="1"/>
  <c r="AF356" i="1"/>
  <c r="AE356" i="1"/>
  <c r="AD356" i="1"/>
  <c r="AA356" i="1"/>
  <c r="V356" i="1"/>
  <c r="X356" i="1" s="1"/>
  <c r="BJ355" i="1"/>
  <c r="BI355" i="1"/>
  <c r="BH355" i="1"/>
  <c r="BE355" i="1"/>
  <c r="BM355" i="1" s="1"/>
  <c r="AJ355" i="1"/>
  <c r="AI355" i="1"/>
  <c r="AG355" i="1"/>
  <c r="AY355" i="1" s="1"/>
  <c r="AA355" i="1"/>
  <c r="AB355" i="1" s="1"/>
  <c r="V355" i="1"/>
  <c r="X355" i="1" s="1"/>
  <c r="BJ354" i="1"/>
  <c r="BI354" i="1"/>
  <c r="BH354" i="1"/>
  <c r="BE354" i="1"/>
  <c r="AJ354" i="1"/>
  <c r="AI354" i="1"/>
  <c r="AG354" i="1"/>
  <c r="AX354" i="1" s="1"/>
  <c r="AA354" i="1"/>
  <c r="AC354" i="1" s="1"/>
  <c r="V354" i="1"/>
  <c r="X354" i="1" s="1"/>
  <c r="BJ353" i="1"/>
  <c r="BI353" i="1"/>
  <c r="BH353" i="1"/>
  <c r="BE353" i="1"/>
  <c r="AJ353" i="1"/>
  <c r="AI353" i="1"/>
  <c r="AG353" i="1"/>
  <c r="AY353" i="1" s="1"/>
  <c r="AA353" i="1"/>
  <c r="AB353" i="1" s="1"/>
  <c r="V353" i="1"/>
  <c r="X353" i="1" s="1"/>
  <c r="BJ352" i="1"/>
  <c r="BI352" i="1"/>
  <c r="BH352" i="1"/>
  <c r="BE352" i="1"/>
  <c r="AV352" i="1"/>
  <c r="AJ352" i="1"/>
  <c r="AI352" i="1"/>
  <c r="AG352" i="1"/>
  <c r="AY352" i="1" s="1"/>
  <c r="AA352" i="1"/>
  <c r="AB352" i="1" s="1"/>
  <c r="V352" i="1"/>
  <c r="X352" i="1" s="1"/>
  <c r="BJ351" i="1"/>
  <c r="BI351" i="1"/>
  <c r="BH351" i="1"/>
  <c r="BE351" i="1"/>
  <c r="BM351" i="1" s="1"/>
  <c r="AJ351" i="1"/>
  <c r="AO351" i="1" s="1"/>
  <c r="AI351" i="1"/>
  <c r="AG351" i="1"/>
  <c r="AY351" i="1" s="1"/>
  <c r="AA351" i="1"/>
  <c r="AB351" i="1" s="1"/>
  <c r="V351" i="1"/>
  <c r="X351" i="1" s="1"/>
  <c r="BJ350" i="1"/>
  <c r="BI350" i="1"/>
  <c r="BH350" i="1"/>
  <c r="BE350" i="1"/>
  <c r="BM350" i="1" s="1"/>
  <c r="AJ350" i="1"/>
  <c r="AI350" i="1"/>
  <c r="AG350" i="1"/>
  <c r="AY350" i="1" s="1"/>
  <c r="AA350" i="1"/>
  <c r="V350" i="1"/>
  <c r="X350" i="1" s="1"/>
  <c r="BJ349" i="1"/>
  <c r="BI349" i="1"/>
  <c r="BH349" i="1"/>
  <c r="BE349" i="1"/>
  <c r="BM349" i="1" s="1"/>
  <c r="AJ349" i="1"/>
  <c r="AI349" i="1"/>
  <c r="AG349" i="1"/>
  <c r="AA349" i="1"/>
  <c r="AC349" i="1" s="1"/>
  <c r="V349" i="1"/>
  <c r="X349" i="1" s="1"/>
  <c r="BJ348" i="1"/>
  <c r="BI348" i="1"/>
  <c r="BH348" i="1"/>
  <c r="BE348" i="1"/>
  <c r="AJ348" i="1"/>
  <c r="AI348" i="1"/>
  <c r="AG348" i="1"/>
  <c r="AA348" i="1"/>
  <c r="AC348" i="1" s="1"/>
  <c r="V348" i="1"/>
  <c r="X348" i="1" s="1"/>
  <c r="BJ347" i="1"/>
  <c r="BI347" i="1"/>
  <c r="BH347" i="1"/>
  <c r="BE347" i="1"/>
  <c r="BM347" i="1" s="1"/>
  <c r="AV347" i="1"/>
  <c r="AJ347" i="1"/>
  <c r="AI347" i="1"/>
  <c r="AG347" i="1"/>
  <c r="AX347" i="1" s="1"/>
  <c r="AA347" i="1"/>
  <c r="AC347" i="1" s="1"/>
  <c r="V347" i="1"/>
  <c r="X347" i="1" s="1"/>
  <c r="BJ346" i="1"/>
  <c r="BI346" i="1"/>
  <c r="BH346" i="1"/>
  <c r="BE346" i="1"/>
  <c r="AJ346" i="1"/>
  <c r="AI346" i="1"/>
  <c r="AG346" i="1"/>
  <c r="AY346" i="1" s="1"/>
  <c r="AA346" i="1"/>
  <c r="AC346" i="1" s="1"/>
  <c r="V346" i="1"/>
  <c r="X346" i="1" s="1"/>
  <c r="BJ345" i="1"/>
  <c r="BI345" i="1"/>
  <c r="BH345" i="1"/>
  <c r="BE345" i="1"/>
  <c r="AV345" i="1"/>
  <c r="AJ345" i="1"/>
  <c r="AI345" i="1"/>
  <c r="AG345" i="1"/>
  <c r="AX345" i="1" s="1"/>
  <c r="AA345" i="1"/>
  <c r="AB345" i="1" s="1"/>
  <c r="V345" i="1"/>
  <c r="X345" i="1" s="1"/>
  <c r="BJ344" i="1"/>
  <c r="BI344" i="1"/>
  <c r="BH344" i="1"/>
  <c r="BE344" i="1"/>
  <c r="BM344" i="1" s="1"/>
  <c r="AJ344" i="1"/>
  <c r="AI344" i="1"/>
  <c r="AG344" i="1"/>
  <c r="AY344" i="1" s="1"/>
  <c r="AA344" i="1"/>
  <c r="V344" i="1"/>
  <c r="X344" i="1" s="1"/>
  <c r="BJ343" i="1"/>
  <c r="BI343" i="1"/>
  <c r="BH343" i="1"/>
  <c r="BE343" i="1"/>
  <c r="BM343" i="1" s="1"/>
  <c r="AV343" i="1"/>
  <c r="AJ343" i="1"/>
  <c r="AI343" i="1"/>
  <c r="AG343" i="1"/>
  <c r="AY343" i="1" s="1"/>
  <c r="AA343" i="1"/>
  <c r="AC343" i="1" s="1"/>
  <c r="V343" i="1"/>
  <c r="X343" i="1" s="1"/>
  <c r="BJ342" i="1"/>
  <c r="BI342" i="1"/>
  <c r="BH342" i="1"/>
  <c r="BE342" i="1"/>
  <c r="BM342" i="1" s="1"/>
  <c r="AV342" i="1"/>
  <c r="AJ342" i="1"/>
  <c r="AI342" i="1"/>
  <c r="AG342" i="1"/>
  <c r="AA342" i="1"/>
  <c r="V342" i="1"/>
  <c r="X342" i="1" s="1"/>
  <c r="BJ341" i="1"/>
  <c r="BI341" i="1"/>
  <c r="BH341" i="1"/>
  <c r="BE341" i="1"/>
  <c r="AV341" i="1"/>
  <c r="AJ341" i="1"/>
  <c r="AI341" i="1"/>
  <c r="AG341" i="1"/>
  <c r="AA341" i="1"/>
  <c r="AB341" i="1" s="1"/>
  <c r="V341" i="1"/>
  <c r="X341" i="1" s="1"/>
  <c r="AJ340" i="1"/>
  <c r="AI340" i="1"/>
  <c r="AG340" i="1"/>
  <c r="AA340" i="1"/>
  <c r="BJ339" i="1"/>
  <c r="BI339" i="1"/>
  <c r="BH339" i="1"/>
  <c r="BE339" i="1"/>
  <c r="BM339" i="1" s="1"/>
  <c r="AV339" i="1"/>
  <c r="AJ339" i="1"/>
  <c r="AF339" i="1"/>
  <c r="AE339" i="1"/>
  <c r="AD339" i="1"/>
  <c r="AA339" i="1"/>
  <c r="V339" i="1"/>
  <c r="X339" i="1" s="1"/>
  <c r="AJ338" i="1"/>
  <c r="AI338" i="1"/>
  <c r="AG338" i="1"/>
  <c r="AA338" i="1"/>
  <c r="AB338" i="1" s="1"/>
  <c r="BJ337" i="1"/>
  <c r="BI337" i="1"/>
  <c r="BH337" i="1"/>
  <c r="BE337" i="1"/>
  <c r="BM337" i="1" s="1"/>
  <c r="AV337" i="1"/>
  <c r="AJ337" i="1"/>
  <c r="AI337" i="1"/>
  <c r="AD337" i="1"/>
  <c r="AA337" i="1"/>
  <c r="V337" i="1"/>
  <c r="X337" i="1" s="1"/>
  <c r="BJ336" i="1"/>
  <c r="BI336" i="1"/>
  <c r="BH336" i="1"/>
  <c r="BE336" i="1"/>
  <c r="AJ336" i="1"/>
  <c r="AI336" i="1"/>
  <c r="AG336" i="1"/>
  <c r="AX336" i="1" s="1"/>
  <c r="AA336" i="1"/>
  <c r="V336" i="1"/>
  <c r="X336" i="1" s="1"/>
  <c r="BJ335" i="1"/>
  <c r="BI335" i="1"/>
  <c r="BH335" i="1"/>
  <c r="BE335" i="1"/>
  <c r="AV335" i="1"/>
  <c r="AJ335" i="1"/>
  <c r="AI335" i="1"/>
  <c r="AG335" i="1"/>
  <c r="AA335" i="1"/>
  <c r="AB335" i="1" s="1"/>
  <c r="V335" i="1"/>
  <c r="X335" i="1" s="1"/>
  <c r="AJ334" i="1"/>
  <c r="AI334" i="1"/>
  <c r="AG334" i="1"/>
  <c r="AA334" i="1"/>
  <c r="AC334" i="1" s="1"/>
  <c r="BJ333" i="1"/>
  <c r="BI333" i="1"/>
  <c r="BH333" i="1"/>
  <c r="BE333" i="1"/>
  <c r="AV333" i="1"/>
  <c r="AJ333" i="1"/>
  <c r="AF333" i="1"/>
  <c r="AI333" i="1" s="1"/>
  <c r="AE333" i="1"/>
  <c r="AD333" i="1"/>
  <c r="AA333" i="1"/>
  <c r="V333" i="1"/>
  <c r="X333" i="1" s="1"/>
  <c r="BJ332" i="1"/>
  <c r="BI332" i="1"/>
  <c r="BH332" i="1"/>
  <c r="BE332" i="1"/>
  <c r="AV332" i="1"/>
  <c r="AJ332" i="1"/>
  <c r="AI332" i="1"/>
  <c r="AG332" i="1"/>
  <c r="AY332" i="1" s="1"/>
  <c r="AA332" i="1"/>
  <c r="AC332" i="1" s="1"/>
  <c r="V332" i="1"/>
  <c r="X332" i="1" s="1"/>
  <c r="BJ331" i="1"/>
  <c r="BI331" i="1"/>
  <c r="BH331" i="1"/>
  <c r="BE331" i="1"/>
  <c r="BM331" i="1" s="1"/>
  <c r="AJ331" i="1"/>
  <c r="AI331" i="1"/>
  <c r="AG331" i="1"/>
  <c r="AX331" i="1" s="1"/>
  <c r="AA331" i="1"/>
  <c r="AC331" i="1" s="1"/>
  <c r="V331" i="1"/>
  <c r="X331" i="1" s="1"/>
  <c r="BJ330" i="1"/>
  <c r="BI330" i="1"/>
  <c r="BH330" i="1"/>
  <c r="BE330" i="1"/>
  <c r="AJ330" i="1"/>
  <c r="AI330" i="1"/>
  <c r="AG330" i="1"/>
  <c r="AX330" i="1" s="1"/>
  <c r="AA330" i="1"/>
  <c r="V330" i="1"/>
  <c r="X330" i="1" s="1"/>
  <c r="BJ329" i="1"/>
  <c r="BI329" i="1"/>
  <c r="BH329" i="1"/>
  <c r="BE329" i="1"/>
  <c r="BM329" i="1" s="1"/>
  <c r="AJ329" i="1"/>
  <c r="AI329" i="1"/>
  <c r="AG329" i="1"/>
  <c r="AY329" i="1" s="1"/>
  <c r="AA329" i="1"/>
  <c r="AB329" i="1" s="1"/>
  <c r="V329" i="1"/>
  <c r="X329" i="1" s="1"/>
  <c r="BJ328" i="1"/>
  <c r="BI328" i="1"/>
  <c r="BH328" i="1"/>
  <c r="BE328" i="1"/>
  <c r="BM328" i="1" s="1"/>
  <c r="AV328" i="1"/>
  <c r="AJ328" i="1"/>
  <c r="AI328" i="1"/>
  <c r="AG328" i="1"/>
  <c r="AX328" i="1" s="1"/>
  <c r="AA328" i="1"/>
  <c r="AC328" i="1" s="1"/>
  <c r="V328" i="1"/>
  <c r="X328" i="1" s="1"/>
  <c r="BJ327" i="1"/>
  <c r="BI327" i="1"/>
  <c r="BH327" i="1"/>
  <c r="BE327" i="1"/>
  <c r="AJ327" i="1"/>
  <c r="AI327" i="1"/>
  <c r="AG327" i="1"/>
  <c r="AA327" i="1"/>
  <c r="V327" i="1"/>
  <c r="X327" i="1" s="1"/>
  <c r="BJ326" i="1"/>
  <c r="BI326" i="1"/>
  <c r="BH326" i="1"/>
  <c r="BE326" i="1"/>
  <c r="BM326" i="1" s="1"/>
  <c r="AJ326" i="1"/>
  <c r="AI326" i="1"/>
  <c r="AG326" i="1"/>
  <c r="AX326" i="1" s="1"/>
  <c r="AA326" i="1"/>
  <c r="AB326" i="1" s="1"/>
  <c r="V326" i="1"/>
  <c r="X326" i="1" s="1"/>
  <c r="BJ325" i="1"/>
  <c r="BI325" i="1"/>
  <c r="BH325" i="1"/>
  <c r="BE325" i="1"/>
  <c r="BM325" i="1" s="1"/>
  <c r="AV325" i="1"/>
  <c r="AJ325" i="1"/>
  <c r="AI325" i="1"/>
  <c r="AG325" i="1"/>
  <c r="AY325" i="1" s="1"/>
  <c r="AA325" i="1"/>
  <c r="AC325" i="1" s="1"/>
  <c r="V325" i="1"/>
  <c r="X325" i="1" s="1"/>
  <c r="BJ324" i="1"/>
  <c r="BI324" i="1"/>
  <c r="BH324" i="1"/>
  <c r="BE324" i="1"/>
  <c r="AJ324" i="1"/>
  <c r="AI324" i="1"/>
  <c r="AG324" i="1"/>
  <c r="AY324" i="1" s="1"/>
  <c r="AA324" i="1"/>
  <c r="V324" i="1"/>
  <c r="X324" i="1" s="1"/>
  <c r="BJ323" i="1"/>
  <c r="BI323" i="1"/>
  <c r="BH323" i="1"/>
  <c r="BE323" i="1"/>
  <c r="AV323" i="1"/>
  <c r="AJ323" i="1"/>
  <c r="AI323" i="1"/>
  <c r="AG323" i="1"/>
  <c r="AA323" i="1"/>
  <c r="AC323" i="1" s="1"/>
  <c r="V323" i="1"/>
  <c r="X323" i="1" s="1"/>
  <c r="BJ322" i="1"/>
  <c r="BI322" i="1"/>
  <c r="BH322" i="1"/>
  <c r="BE322" i="1"/>
  <c r="BM322" i="1" s="1"/>
  <c r="AV322" i="1"/>
  <c r="AJ322" i="1"/>
  <c r="AI322" i="1"/>
  <c r="AG322" i="1"/>
  <c r="AX322" i="1" s="1"/>
  <c r="AA322" i="1"/>
  <c r="V322" i="1"/>
  <c r="X322" i="1" s="1"/>
  <c r="BJ321" i="1"/>
  <c r="BI321" i="1"/>
  <c r="BH321" i="1"/>
  <c r="BE321" i="1"/>
  <c r="BM321" i="1" s="1"/>
  <c r="AJ321" i="1"/>
  <c r="AI321" i="1"/>
  <c r="AG321" i="1"/>
  <c r="AY321" i="1" s="1"/>
  <c r="AA321" i="1"/>
  <c r="AB321" i="1" s="1"/>
  <c r="V321" i="1"/>
  <c r="X321" i="1" s="1"/>
  <c r="AJ320" i="1"/>
  <c r="AI320" i="1"/>
  <c r="AG320" i="1"/>
  <c r="AA320" i="1"/>
  <c r="AB320" i="1" s="1"/>
  <c r="BJ319" i="1"/>
  <c r="BI319" i="1"/>
  <c r="BH319" i="1"/>
  <c r="BE319" i="1"/>
  <c r="AJ319" i="1"/>
  <c r="AI319" i="1"/>
  <c r="AG319" i="1"/>
  <c r="AA319" i="1"/>
  <c r="AB319" i="1" s="1"/>
  <c r="V319" i="1"/>
  <c r="X319" i="1" s="1"/>
  <c r="BJ318" i="1"/>
  <c r="BI318" i="1"/>
  <c r="BH318" i="1"/>
  <c r="BE318" i="1"/>
  <c r="AJ318" i="1"/>
  <c r="AI318" i="1"/>
  <c r="AG318" i="1"/>
  <c r="AY318" i="1" s="1"/>
  <c r="AA318" i="1"/>
  <c r="AB318" i="1" s="1"/>
  <c r="V318" i="1"/>
  <c r="X318" i="1" s="1"/>
  <c r="BJ317" i="1"/>
  <c r="BI317" i="1"/>
  <c r="BH317" i="1"/>
  <c r="BE317" i="1"/>
  <c r="AJ317" i="1"/>
  <c r="AI317" i="1"/>
  <c r="AG317" i="1"/>
  <c r="AA317" i="1"/>
  <c r="V317" i="1"/>
  <c r="X317" i="1" s="1"/>
  <c r="BJ316" i="1"/>
  <c r="BI316" i="1"/>
  <c r="BH316" i="1"/>
  <c r="BE316" i="1"/>
  <c r="AJ316" i="1"/>
  <c r="AI316" i="1"/>
  <c r="AG316" i="1"/>
  <c r="AA316" i="1"/>
  <c r="AB316" i="1" s="1"/>
  <c r="V316" i="1"/>
  <c r="X316" i="1" s="1"/>
  <c r="BJ315" i="1"/>
  <c r="BI315" i="1"/>
  <c r="BH315" i="1"/>
  <c r="BE315" i="1"/>
  <c r="AJ315" i="1"/>
  <c r="AI315" i="1"/>
  <c r="AG315" i="1"/>
  <c r="AA315" i="1"/>
  <c r="AB315" i="1" s="1"/>
  <c r="V315" i="1"/>
  <c r="X315" i="1" s="1"/>
  <c r="BJ314" i="1"/>
  <c r="BI314" i="1"/>
  <c r="BH314" i="1"/>
  <c r="BE314" i="1"/>
  <c r="AJ314" i="1"/>
  <c r="AI314" i="1"/>
  <c r="AG314" i="1"/>
  <c r="AX314" i="1" s="1"/>
  <c r="AA314" i="1"/>
  <c r="V314" i="1"/>
  <c r="X314" i="1" s="1"/>
  <c r="BJ313" i="1"/>
  <c r="BI313" i="1"/>
  <c r="BH313" i="1"/>
  <c r="BE313" i="1"/>
  <c r="AJ313" i="1"/>
  <c r="AI313" i="1"/>
  <c r="AG313" i="1"/>
  <c r="AA313" i="1"/>
  <c r="V313" i="1"/>
  <c r="X313" i="1" s="1"/>
  <c r="BJ312" i="1"/>
  <c r="BI312" i="1"/>
  <c r="BH312" i="1"/>
  <c r="BE312" i="1"/>
  <c r="BM312" i="1" s="1"/>
  <c r="AJ312" i="1"/>
  <c r="AI312" i="1"/>
  <c r="AG312" i="1"/>
  <c r="AA312" i="1"/>
  <c r="V312" i="1"/>
  <c r="X312" i="1" s="1"/>
  <c r="BJ311" i="1"/>
  <c r="BI311" i="1"/>
  <c r="BH311" i="1"/>
  <c r="BE311" i="1"/>
  <c r="BM311" i="1" s="1"/>
  <c r="AJ311" i="1"/>
  <c r="AO311" i="1" s="1"/>
  <c r="AI311" i="1"/>
  <c r="AG311" i="1"/>
  <c r="AA311" i="1"/>
  <c r="V311" i="1"/>
  <c r="X311" i="1" s="1"/>
  <c r="BJ310" i="1"/>
  <c r="BI310" i="1"/>
  <c r="BH310" i="1"/>
  <c r="BE310" i="1"/>
  <c r="AI310" i="1"/>
  <c r="AG310" i="1"/>
  <c r="AA310" i="1"/>
  <c r="V310" i="1"/>
  <c r="X310" i="1" s="1"/>
  <c r="BJ309" i="1"/>
  <c r="BI309" i="1"/>
  <c r="BH309" i="1"/>
  <c r="BE309" i="1"/>
  <c r="BM309" i="1" s="1"/>
  <c r="AJ309" i="1"/>
  <c r="AI309" i="1"/>
  <c r="AG309" i="1"/>
  <c r="AA309" i="1"/>
  <c r="V309" i="1"/>
  <c r="X309" i="1" s="1"/>
  <c r="BJ308" i="1"/>
  <c r="BI308" i="1"/>
  <c r="BH308" i="1"/>
  <c r="BE308" i="1"/>
  <c r="AV308" i="1"/>
  <c r="AJ308" i="1"/>
  <c r="AI308" i="1"/>
  <c r="AG308" i="1"/>
  <c r="AA308" i="1"/>
  <c r="AC308" i="1" s="1"/>
  <c r="V308" i="1"/>
  <c r="X308" i="1" s="1"/>
  <c r="BJ307" i="1"/>
  <c r="BI307" i="1"/>
  <c r="BH307" i="1"/>
  <c r="BE307" i="1"/>
  <c r="BM307" i="1" s="1"/>
  <c r="AJ307" i="1"/>
  <c r="AI307" i="1"/>
  <c r="AG307" i="1"/>
  <c r="AA307" i="1"/>
  <c r="AB307" i="1" s="1"/>
  <c r="V307" i="1"/>
  <c r="X307" i="1" s="1"/>
  <c r="BJ306" i="1"/>
  <c r="BI306" i="1"/>
  <c r="BH306" i="1"/>
  <c r="BE306" i="1"/>
  <c r="BM306" i="1" s="1"/>
  <c r="AV306" i="1"/>
  <c r="AJ306" i="1"/>
  <c r="AI306" i="1"/>
  <c r="AG306" i="1"/>
  <c r="AX306" i="1" s="1"/>
  <c r="AA306" i="1"/>
  <c r="AB306" i="1" s="1"/>
  <c r="V306" i="1"/>
  <c r="X306" i="1" s="1"/>
  <c r="BJ305" i="1"/>
  <c r="BI305" i="1"/>
  <c r="BH305" i="1"/>
  <c r="BE305" i="1"/>
  <c r="AV305" i="1"/>
  <c r="AJ305" i="1"/>
  <c r="AO305" i="1" s="1"/>
  <c r="AI305" i="1"/>
  <c r="AG305" i="1"/>
  <c r="AY305" i="1" s="1"/>
  <c r="AA305" i="1"/>
  <c r="V305" i="1"/>
  <c r="X305" i="1" s="1"/>
  <c r="BJ304" i="1"/>
  <c r="BI304" i="1"/>
  <c r="BH304" i="1"/>
  <c r="BE304" i="1"/>
  <c r="BM304" i="1" s="1"/>
  <c r="AV304" i="1"/>
  <c r="AJ304" i="1"/>
  <c r="AI304" i="1"/>
  <c r="AG304" i="1"/>
  <c r="AY304" i="1" s="1"/>
  <c r="AA304" i="1"/>
  <c r="AB304" i="1" s="1"/>
  <c r="V304" i="1"/>
  <c r="X304" i="1" s="1"/>
  <c r="BJ303" i="1"/>
  <c r="BI303" i="1"/>
  <c r="BH303" i="1"/>
  <c r="BE303" i="1"/>
  <c r="AV303" i="1"/>
  <c r="AJ303" i="1"/>
  <c r="AO303" i="1" s="1"/>
  <c r="AI303" i="1"/>
  <c r="AG303" i="1"/>
  <c r="AY303" i="1" s="1"/>
  <c r="AA303" i="1"/>
  <c r="AB303" i="1" s="1"/>
  <c r="V303" i="1"/>
  <c r="X303" i="1" s="1"/>
  <c r="BJ302" i="1"/>
  <c r="BI302" i="1"/>
  <c r="BH302" i="1"/>
  <c r="BE302" i="1"/>
  <c r="AV302" i="1"/>
  <c r="AJ302" i="1"/>
  <c r="AI302" i="1"/>
  <c r="AG302" i="1"/>
  <c r="AA302" i="1"/>
  <c r="V302" i="1"/>
  <c r="X302" i="1" s="1"/>
  <c r="BJ301" i="1"/>
  <c r="BI301" i="1"/>
  <c r="BH301" i="1"/>
  <c r="BE301" i="1"/>
  <c r="BM301" i="1" s="1"/>
  <c r="AV301" i="1"/>
  <c r="AJ301" i="1"/>
  <c r="AI301" i="1"/>
  <c r="AG301" i="1"/>
  <c r="AX301" i="1" s="1"/>
  <c r="AA301" i="1"/>
  <c r="V301" i="1"/>
  <c r="X301" i="1" s="1"/>
  <c r="BJ300" i="1"/>
  <c r="BI300" i="1"/>
  <c r="BH300" i="1"/>
  <c r="BE300" i="1"/>
  <c r="AV300" i="1"/>
  <c r="AJ300" i="1"/>
  <c r="AI300" i="1"/>
  <c r="AG300" i="1"/>
  <c r="AY300" i="1" s="1"/>
  <c r="AA300" i="1"/>
  <c r="AB300" i="1" s="1"/>
  <c r="V300" i="1"/>
  <c r="X300" i="1" s="1"/>
  <c r="BJ299" i="1"/>
  <c r="BI299" i="1"/>
  <c r="BH299" i="1"/>
  <c r="BE299" i="1"/>
  <c r="BM299" i="1" s="1"/>
  <c r="AV299" i="1"/>
  <c r="AJ299" i="1"/>
  <c r="AI299" i="1"/>
  <c r="AG299" i="1"/>
  <c r="AY299" i="1" s="1"/>
  <c r="AA299" i="1"/>
  <c r="V299" i="1"/>
  <c r="X299" i="1" s="1"/>
  <c r="BJ298" i="1"/>
  <c r="BI298" i="1"/>
  <c r="BH298" i="1"/>
  <c r="BE298" i="1"/>
  <c r="BM298" i="1" s="1"/>
  <c r="AJ298" i="1"/>
  <c r="AI298" i="1"/>
  <c r="AG298" i="1"/>
  <c r="AA298" i="1"/>
  <c r="AC298" i="1" s="1"/>
  <c r="V298" i="1"/>
  <c r="X298" i="1" s="1"/>
  <c r="BJ297" i="1"/>
  <c r="BI297" i="1"/>
  <c r="BH297" i="1"/>
  <c r="BE297" i="1"/>
  <c r="AJ297" i="1"/>
  <c r="AI297" i="1"/>
  <c r="AG297" i="1"/>
  <c r="AY297" i="1" s="1"/>
  <c r="AA297" i="1"/>
  <c r="AC297" i="1" s="1"/>
  <c r="V297" i="1"/>
  <c r="X297" i="1" s="1"/>
  <c r="BJ296" i="1"/>
  <c r="BI296" i="1"/>
  <c r="BH296" i="1"/>
  <c r="BE296" i="1"/>
  <c r="AJ296" i="1"/>
  <c r="AI296" i="1"/>
  <c r="AG296" i="1"/>
  <c r="AY296" i="1" s="1"/>
  <c r="AA296" i="1"/>
  <c r="AB296" i="1" s="1"/>
  <c r="V296" i="1"/>
  <c r="X296" i="1" s="1"/>
  <c r="BJ295" i="1"/>
  <c r="BI295" i="1"/>
  <c r="BH295" i="1"/>
  <c r="BE295" i="1"/>
  <c r="BM295" i="1" s="1"/>
  <c r="AV295" i="1"/>
  <c r="AJ295" i="1"/>
  <c r="AI295" i="1"/>
  <c r="AG295" i="1"/>
  <c r="AX295" i="1" s="1"/>
  <c r="AA295" i="1"/>
  <c r="AB295" i="1" s="1"/>
  <c r="V295" i="1"/>
  <c r="X295" i="1" s="1"/>
  <c r="BJ294" i="1"/>
  <c r="BI294" i="1"/>
  <c r="BH294" i="1"/>
  <c r="BE294" i="1"/>
  <c r="AV294" i="1"/>
  <c r="AJ294" i="1"/>
  <c r="AO294" i="1" s="1"/>
  <c r="AI294" i="1"/>
  <c r="AG294" i="1"/>
  <c r="AY294" i="1" s="1"/>
  <c r="AA294" i="1"/>
  <c r="AC294" i="1" s="1"/>
  <c r="V294" i="1"/>
  <c r="X294" i="1" s="1"/>
  <c r="BJ293" i="1"/>
  <c r="BI293" i="1"/>
  <c r="BH293" i="1"/>
  <c r="BE293" i="1"/>
  <c r="AV293" i="1"/>
  <c r="AJ293" i="1"/>
  <c r="AI293" i="1"/>
  <c r="AG293" i="1"/>
  <c r="AY293" i="1" s="1"/>
  <c r="AA293" i="1"/>
  <c r="AC293" i="1" s="1"/>
  <c r="V293" i="1"/>
  <c r="X293" i="1" s="1"/>
  <c r="BJ292" i="1"/>
  <c r="BI292" i="1"/>
  <c r="BH292" i="1"/>
  <c r="BE292" i="1"/>
  <c r="BM292" i="1" s="1"/>
  <c r="AV292" i="1"/>
  <c r="AJ292" i="1"/>
  <c r="AI292" i="1"/>
  <c r="AG292" i="1"/>
  <c r="AA292" i="1"/>
  <c r="V292" i="1"/>
  <c r="X292" i="1" s="1"/>
  <c r="AJ291" i="1"/>
  <c r="AI291" i="1"/>
  <c r="AG291" i="1"/>
  <c r="AA291" i="1"/>
  <c r="AC291" i="1" s="1"/>
  <c r="BJ290" i="1"/>
  <c r="BI290" i="1"/>
  <c r="BH290" i="1"/>
  <c r="BE290" i="1"/>
  <c r="AJ290" i="1"/>
  <c r="AF290" i="1"/>
  <c r="AI290" i="1" s="1"/>
  <c r="AE290" i="1"/>
  <c r="AD290" i="1"/>
  <c r="AA290" i="1"/>
  <c r="V290" i="1"/>
  <c r="X290" i="1" s="1"/>
  <c r="BJ289" i="1"/>
  <c r="BI289" i="1"/>
  <c r="BH289" i="1"/>
  <c r="BE289" i="1"/>
  <c r="AV289" i="1"/>
  <c r="AJ289" i="1"/>
  <c r="AI289" i="1"/>
  <c r="AG289" i="1"/>
  <c r="AA289" i="1"/>
  <c r="AB289" i="1" s="1"/>
  <c r="V289" i="1"/>
  <c r="X289" i="1" s="1"/>
  <c r="BJ288" i="1"/>
  <c r="BI288" i="1"/>
  <c r="BH288" i="1"/>
  <c r="BE288" i="1"/>
  <c r="AV288" i="1"/>
  <c r="AJ288" i="1"/>
  <c r="AI288" i="1"/>
  <c r="AG288" i="1"/>
  <c r="AY288" i="1" s="1"/>
  <c r="AA288" i="1"/>
  <c r="AC288" i="1" s="1"/>
  <c r="V288" i="1"/>
  <c r="X288" i="1" s="1"/>
  <c r="BJ287" i="1"/>
  <c r="BI287" i="1"/>
  <c r="BH287" i="1"/>
  <c r="BE287" i="1"/>
  <c r="AV287" i="1"/>
  <c r="AJ287" i="1"/>
  <c r="AI287" i="1"/>
  <c r="AG287" i="1"/>
  <c r="AA287" i="1"/>
  <c r="AB287" i="1" s="1"/>
  <c r="V287" i="1"/>
  <c r="X287" i="1" s="1"/>
  <c r="BJ286" i="1"/>
  <c r="BI286" i="1"/>
  <c r="BH286" i="1"/>
  <c r="BE286" i="1"/>
  <c r="AJ286" i="1"/>
  <c r="AI286" i="1"/>
  <c r="AG286" i="1"/>
  <c r="AX286" i="1" s="1"/>
  <c r="AA286" i="1"/>
  <c r="AC286" i="1" s="1"/>
  <c r="V286" i="1"/>
  <c r="X286" i="1" s="1"/>
  <c r="BJ285" i="1"/>
  <c r="BI285" i="1"/>
  <c r="BH285" i="1"/>
  <c r="BE285" i="1"/>
  <c r="AV285" i="1"/>
  <c r="AJ285" i="1"/>
  <c r="AI285" i="1"/>
  <c r="AG285" i="1"/>
  <c r="AY285" i="1" s="1"/>
  <c r="AA285" i="1"/>
  <c r="AC285" i="1" s="1"/>
  <c r="V285" i="1"/>
  <c r="X285" i="1" s="1"/>
  <c r="BJ284" i="1"/>
  <c r="BI284" i="1"/>
  <c r="BH284" i="1"/>
  <c r="BE284" i="1"/>
  <c r="AJ284" i="1"/>
  <c r="AI284" i="1"/>
  <c r="AG284" i="1"/>
  <c r="AY284" i="1" s="1"/>
  <c r="AA284" i="1"/>
  <c r="AB284" i="1" s="1"/>
  <c r="V284" i="1"/>
  <c r="X284" i="1" s="1"/>
  <c r="BJ283" i="1"/>
  <c r="BI283" i="1"/>
  <c r="BH283" i="1"/>
  <c r="BE283" i="1"/>
  <c r="BM283" i="1" s="1"/>
  <c r="AJ283" i="1"/>
  <c r="AI283" i="1"/>
  <c r="AG283" i="1"/>
  <c r="AA283" i="1"/>
  <c r="AB283" i="1" s="1"/>
  <c r="V283" i="1"/>
  <c r="X283" i="1" s="1"/>
  <c r="BJ282" i="1"/>
  <c r="BI282" i="1"/>
  <c r="BH282" i="1"/>
  <c r="BE282" i="1"/>
  <c r="AJ282" i="1"/>
  <c r="AI282" i="1"/>
  <c r="AG282" i="1"/>
  <c r="AA282" i="1"/>
  <c r="V282" i="1"/>
  <c r="X282" i="1" s="1"/>
  <c r="BJ281" i="1"/>
  <c r="BI281" i="1"/>
  <c r="BH281" i="1"/>
  <c r="BE281" i="1"/>
  <c r="BM281" i="1" s="1"/>
  <c r="AV281" i="1"/>
  <c r="AJ281" i="1"/>
  <c r="AI281" i="1"/>
  <c r="AG281" i="1"/>
  <c r="AA281" i="1"/>
  <c r="V281" i="1"/>
  <c r="X281" i="1" s="1"/>
  <c r="AJ280" i="1"/>
  <c r="AI280" i="1"/>
  <c r="AG280" i="1"/>
  <c r="AA280" i="1"/>
  <c r="AC280" i="1" s="1"/>
  <c r="BJ279" i="1"/>
  <c r="BI279" i="1"/>
  <c r="BH279" i="1"/>
  <c r="BE279" i="1"/>
  <c r="AJ279" i="1"/>
  <c r="AF279" i="1"/>
  <c r="AI279" i="1" s="1"/>
  <c r="AE279" i="1"/>
  <c r="AD279" i="1"/>
  <c r="AA279" i="1"/>
  <c r="V279" i="1"/>
  <c r="X279" i="1" s="1"/>
  <c r="BJ278" i="1"/>
  <c r="BI278" i="1"/>
  <c r="BH278" i="1"/>
  <c r="BE278" i="1"/>
  <c r="AJ278" i="1"/>
  <c r="AI278" i="1"/>
  <c r="AG278" i="1"/>
  <c r="AA278" i="1"/>
  <c r="AC278" i="1" s="1"/>
  <c r="V278" i="1"/>
  <c r="X278" i="1" s="1"/>
  <c r="BJ277" i="1"/>
  <c r="BI277" i="1"/>
  <c r="BH277" i="1"/>
  <c r="BE277" i="1"/>
  <c r="BM277" i="1" s="1"/>
  <c r="AV277" i="1"/>
  <c r="AJ277" i="1"/>
  <c r="AI277" i="1"/>
  <c r="AG277" i="1"/>
  <c r="AA277" i="1"/>
  <c r="AB277" i="1" s="1"/>
  <c r="V277" i="1"/>
  <c r="X277" i="1" s="1"/>
  <c r="BJ276" i="1"/>
  <c r="BI276" i="1"/>
  <c r="BH276" i="1"/>
  <c r="BE276" i="1"/>
  <c r="AJ276" i="1"/>
  <c r="AO276" i="1" s="1"/>
  <c r="AI276" i="1"/>
  <c r="AG276" i="1"/>
  <c r="AA276" i="1"/>
  <c r="AC276" i="1" s="1"/>
  <c r="V276" i="1"/>
  <c r="X276" i="1" s="1"/>
  <c r="BJ275" i="1"/>
  <c r="BI275" i="1"/>
  <c r="BH275" i="1"/>
  <c r="BE275" i="1"/>
  <c r="BM275" i="1" s="1"/>
  <c r="AJ275" i="1"/>
  <c r="AO275" i="1" s="1"/>
  <c r="AI275" i="1"/>
  <c r="AG275" i="1"/>
  <c r="AY275" i="1" s="1"/>
  <c r="AA275" i="1"/>
  <c r="AC275" i="1" s="1"/>
  <c r="V275" i="1"/>
  <c r="X275" i="1" s="1"/>
  <c r="BJ274" i="1"/>
  <c r="BI274" i="1"/>
  <c r="BH274" i="1"/>
  <c r="BE274" i="1"/>
  <c r="BM274" i="1" s="1"/>
  <c r="AJ274" i="1"/>
  <c r="AO274" i="1" s="1"/>
  <c r="AI274" i="1"/>
  <c r="AG274" i="1"/>
  <c r="AA274" i="1"/>
  <c r="AC274" i="1" s="1"/>
  <c r="V274" i="1"/>
  <c r="X274" i="1" s="1"/>
  <c r="BJ273" i="1"/>
  <c r="BI273" i="1"/>
  <c r="BH273" i="1"/>
  <c r="BE273" i="1"/>
  <c r="AJ273" i="1"/>
  <c r="AI273" i="1"/>
  <c r="AG273" i="1"/>
  <c r="AY273" i="1" s="1"/>
  <c r="AA273" i="1"/>
  <c r="AC273" i="1" s="1"/>
  <c r="V273" i="1"/>
  <c r="X273" i="1" s="1"/>
  <c r="BJ272" i="1"/>
  <c r="BI272" i="1"/>
  <c r="BH272" i="1"/>
  <c r="BE272" i="1"/>
  <c r="AJ272" i="1"/>
  <c r="AO272" i="1" s="1"/>
  <c r="AI272" i="1"/>
  <c r="AG272" i="1"/>
  <c r="AA272" i="1"/>
  <c r="AC272" i="1" s="1"/>
  <c r="V272" i="1"/>
  <c r="X272" i="1" s="1"/>
  <c r="BJ271" i="1"/>
  <c r="BI271" i="1"/>
  <c r="BH271" i="1"/>
  <c r="BE271" i="1"/>
  <c r="BM271" i="1" s="1"/>
  <c r="AJ271" i="1"/>
  <c r="AI271" i="1"/>
  <c r="AG271" i="1"/>
  <c r="AA271" i="1"/>
  <c r="AC271" i="1" s="1"/>
  <c r="V271" i="1"/>
  <c r="X271" i="1" s="1"/>
  <c r="BJ270" i="1"/>
  <c r="BI270" i="1"/>
  <c r="BH270" i="1"/>
  <c r="BE270" i="1"/>
  <c r="AJ270" i="1"/>
  <c r="AO270" i="1" s="1"/>
  <c r="AI270" i="1"/>
  <c r="AG270" i="1"/>
  <c r="AX270" i="1" s="1"/>
  <c r="AA270" i="1"/>
  <c r="V270" i="1"/>
  <c r="X270" i="1" s="1"/>
  <c r="BJ269" i="1"/>
  <c r="BI269" i="1"/>
  <c r="BH269" i="1"/>
  <c r="BE269" i="1"/>
  <c r="AV269" i="1"/>
  <c r="AJ269" i="1"/>
  <c r="AI269" i="1"/>
  <c r="AG269" i="1"/>
  <c r="AA269" i="1"/>
  <c r="AB269" i="1" s="1"/>
  <c r="V269" i="1"/>
  <c r="X269" i="1" s="1"/>
  <c r="BJ268" i="1"/>
  <c r="BI268" i="1"/>
  <c r="BH268" i="1"/>
  <c r="BE268" i="1"/>
  <c r="BM268" i="1" s="1"/>
  <c r="AJ268" i="1"/>
  <c r="AI268" i="1"/>
  <c r="AG268" i="1"/>
  <c r="AX268" i="1" s="1"/>
  <c r="AA268" i="1"/>
  <c r="AC268" i="1" s="1"/>
  <c r="V268" i="1"/>
  <c r="X268" i="1" s="1"/>
  <c r="BJ267" i="1"/>
  <c r="BI267" i="1"/>
  <c r="BH267" i="1"/>
  <c r="BE267" i="1"/>
  <c r="AV267" i="1"/>
  <c r="AJ267" i="1"/>
  <c r="AO267" i="1" s="1"/>
  <c r="AI267" i="1"/>
  <c r="AG267" i="1"/>
  <c r="AA267" i="1"/>
  <c r="V267" i="1"/>
  <c r="X267" i="1" s="1"/>
  <c r="BJ266" i="1"/>
  <c r="BI266" i="1"/>
  <c r="BH266" i="1"/>
  <c r="BE266" i="1"/>
  <c r="BM266" i="1" s="1"/>
  <c r="AV266" i="1"/>
  <c r="AJ266" i="1"/>
  <c r="AI266" i="1"/>
  <c r="AG266" i="1"/>
  <c r="AA266" i="1"/>
  <c r="AB266" i="1" s="1"/>
  <c r="V266" i="1"/>
  <c r="X266" i="1" s="1"/>
  <c r="BJ265" i="1"/>
  <c r="BI265" i="1"/>
  <c r="BH265" i="1"/>
  <c r="BE265" i="1"/>
  <c r="AJ265" i="1"/>
  <c r="AI265" i="1"/>
  <c r="AG265" i="1"/>
  <c r="AX265" i="1" s="1"/>
  <c r="AA265" i="1"/>
  <c r="AC265" i="1" s="1"/>
  <c r="V265" i="1"/>
  <c r="X265" i="1" s="1"/>
  <c r="BJ264" i="1"/>
  <c r="BI264" i="1"/>
  <c r="BH264" i="1"/>
  <c r="BE264" i="1"/>
  <c r="AJ264" i="1"/>
  <c r="AI264" i="1"/>
  <c r="AG264" i="1"/>
  <c r="AY264" i="1" s="1"/>
  <c r="AA264" i="1"/>
  <c r="AC264" i="1" s="1"/>
  <c r="V264" i="1"/>
  <c r="X264" i="1" s="1"/>
  <c r="BJ263" i="1"/>
  <c r="BI263" i="1"/>
  <c r="BH263" i="1"/>
  <c r="BE263" i="1"/>
  <c r="AJ263" i="1"/>
  <c r="AI263" i="1"/>
  <c r="AG263" i="1"/>
  <c r="AX263" i="1" s="1"/>
  <c r="AA263" i="1"/>
  <c r="AB263" i="1" s="1"/>
  <c r="V263" i="1"/>
  <c r="X263" i="1" s="1"/>
  <c r="BJ262" i="1"/>
  <c r="BI262" i="1"/>
  <c r="BH262" i="1"/>
  <c r="BE262" i="1"/>
  <c r="AJ262" i="1"/>
  <c r="AI262" i="1"/>
  <c r="AG262" i="1"/>
  <c r="AY262" i="1" s="1"/>
  <c r="AA262" i="1"/>
  <c r="AC262" i="1" s="1"/>
  <c r="V262" i="1"/>
  <c r="X262" i="1" s="1"/>
  <c r="BJ261" i="1"/>
  <c r="BI261" i="1"/>
  <c r="BH261" i="1"/>
  <c r="BE261" i="1"/>
  <c r="BM261" i="1" s="1"/>
  <c r="AJ261" i="1"/>
  <c r="AI261" i="1"/>
  <c r="AG261" i="1"/>
  <c r="AY261" i="1" s="1"/>
  <c r="AA261" i="1"/>
  <c r="V261" i="1"/>
  <c r="X261" i="1" s="1"/>
  <c r="AJ260" i="1"/>
  <c r="AI260" i="1"/>
  <c r="AG260" i="1"/>
  <c r="AA260" i="1"/>
  <c r="BJ259" i="1"/>
  <c r="BI259" i="1"/>
  <c r="BH259" i="1"/>
  <c r="BE259" i="1"/>
  <c r="BM259" i="1" s="1"/>
  <c r="AV259" i="1"/>
  <c r="AJ259" i="1"/>
  <c r="AF259" i="1"/>
  <c r="AI259" i="1" s="1"/>
  <c r="AE259" i="1"/>
  <c r="AD259" i="1"/>
  <c r="AA259" i="1"/>
  <c r="V259" i="1"/>
  <c r="X259" i="1" s="1"/>
  <c r="BJ258" i="1"/>
  <c r="BI258" i="1"/>
  <c r="BH258" i="1"/>
  <c r="BE258" i="1"/>
  <c r="BM258" i="1" s="1"/>
  <c r="AJ258" i="1"/>
  <c r="AI258" i="1"/>
  <c r="AG258" i="1"/>
  <c r="AA258" i="1"/>
  <c r="V258" i="1"/>
  <c r="X258" i="1" s="1"/>
  <c r="BJ257" i="1"/>
  <c r="BI257" i="1"/>
  <c r="BH257" i="1"/>
  <c r="BE257" i="1"/>
  <c r="AJ257" i="1"/>
  <c r="AI257" i="1"/>
  <c r="AG257" i="1"/>
  <c r="AY257" i="1" s="1"/>
  <c r="AA257" i="1"/>
  <c r="AB257" i="1" s="1"/>
  <c r="V257" i="1"/>
  <c r="X257" i="1" s="1"/>
  <c r="BJ256" i="1"/>
  <c r="BI256" i="1"/>
  <c r="BH256" i="1"/>
  <c r="BE256" i="1"/>
  <c r="BM256" i="1" s="1"/>
  <c r="AV256" i="1"/>
  <c r="AJ256" i="1"/>
  <c r="AI256" i="1"/>
  <c r="AG256" i="1"/>
  <c r="AX256" i="1" s="1"/>
  <c r="AA256" i="1"/>
  <c r="AB256" i="1" s="1"/>
  <c r="V256" i="1"/>
  <c r="X256" i="1" s="1"/>
  <c r="BJ255" i="1"/>
  <c r="BI255" i="1"/>
  <c r="BH255" i="1"/>
  <c r="BE255" i="1"/>
  <c r="AJ255" i="1"/>
  <c r="AI255" i="1"/>
  <c r="AG255" i="1"/>
  <c r="AY255" i="1" s="1"/>
  <c r="AA255" i="1"/>
  <c r="AB255" i="1" s="1"/>
  <c r="V255" i="1"/>
  <c r="X255" i="1" s="1"/>
  <c r="BJ254" i="1"/>
  <c r="BI254" i="1"/>
  <c r="BH254" i="1"/>
  <c r="BE254" i="1"/>
  <c r="BM254" i="1" s="1"/>
  <c r="AJ254" i="1"/>
  <c r="AI254" i="1"/>
  <c r="AG254" i="1"/>
  <c r="AX254" i="1" s="1"/>
  <c r="AA254" i="1"/>
  <c r="AC254" i="1" s="1"/>
  <c r="V254" i="1"/>
  <c r="X254" i="1" s="1"/>
  <c r="AJ253" i="1"/>
  <c r="AO253" i="1" s="1"/>
  <c r="AI253" i="1"/>
  <c r="AG253" i="1"/>
  <c r="AA253" i="1"/>
  <c r="V253" i="1"/>
  <c r="X253" i="1" s="1"/>
  <c r="BJ252" i="1"/>
  <c r="BI252" i="1"/>
  <c r="BH252" i="1"/>
  <c r="BE252" i="1"/>
  <c r="AJ252" i="1"/>
  <c r="AO252" i="1" s="1"/>
  <c r="AI252" i="1"/>
  <c r="AG252" i="1"/>
  <c r="AY252" i="1" s="1"/>
  <c r="AA252" i="1"/>
  <c r="V252" i="1"/>
  <c r="X252" i="1" s="1"/>
  <c r="BJ251" i="1"/>
  <c r="BI251" i="1"/>
  <c r="BH251" i="1"/>
  <c r="BE251" i="1"/>
  <c r="AJ251" i="1"/>
  <c r="AI251" i="1"/>
  <c r="AG251" i="1"/>
  <c r="AY251" i="1" s="1"/>
  <c r="AA251" i="1"/>
  <c r="V251" i="1"/>
  <c r="X251" i="1" s="1"/>
  <c r="BJ250" i="1"/>
  <c r="BI250" i="1"/>
  <c r="BH250" i="1"/>
  <c r="BE250" i="1"/>
  <c r="BM250" i="1" s="1"/>
  <c r="AV250" i="1"/>
  <c r="AJ250" i="1"/>
  <c r="AI250" i="1"/>
  <c r="AG250" i="1"/>
  <c r="AA250" i="1"/>
  <c r="V250" i="1"/>
  <c r="X250" i="1" s="1"/>
  <c r="BJ249" i="1"/>
  <c r="BI249" i="1"/>
  <c r="BH249" i="1"/>
  <c r="BE249" i="1"/>
  <c r="BM249" i="1" s="1"/>
  <c r="AJ249" i="1"/>
  <c r="AI249" i="1"/>
  <c r="AG249" i="1"/>
  <c r="AY249" i="1" s="1"/>
  <c r="AA249" i="1"/>
  <c r="AC249" i="1" s="1"/>
  <c r="V249" i="1"/>
  <c r="X249" i="1" s="1"/>
  <c r="BJ248" i="1"/>
  <c r="BI248" i="1"/>
  <c r="BH248" i="1"/>
  <c r="BE248" i="1"/>
  <c r="BM248" i="1" s="1"/>
  <c r="AJ248" i="1"/>
  <c r="AO248" i="1" s="1"/>
  <c r="AI248" i="1"/>
  <c r="AG248" i="1"/>
  <c r="AY248" i="1" s="1"/>
  <c r="AA248" i="1"/>
  <c r="V248" i="1"/>
  <c r="X248" i="1" s="1"/>
  <c r="BJ247" i="1"/>
  <c r="BI247" i="1"/>
  <c r="BH247" i="1"/>
  <c r="BE247" i="1"/>
  <c r="BM247" i="1" s="1"/>
  <c r="AJ247" i="1"/>
  <c r="AI247" i="1"/>
  <c r="AG247" i="1"/>
  <c r="AA247" i="1"/>
  <c r="AB247" i="1" s="1"/>
  <c r="V247" i="1"/>
  <c r="X247" i="1" s="1"/>
  <c r="BJ246" i="1"/>
  <c r="BI246" i="1"/>
  <c r="BH246" i="1"/>
  <c r="BE246" i="1"/>
  <c r="AJ246" i="1"/>
  <c r="AI246" i="1"/>
  <c r="AG246" i="1"/>
  <c r="AY246" i="1" s="1"/>
  <c r="AA246" i="1"/>
  <c r="AC246" i="1" s="1"/>
  <c r="V246" i="1"/>
  <c r="X246" i="1" s="1"/>
  <c r="BJ245" i="1"/>
  <c r="BI245" i="1"/>
  <c r="BH245" i="1"/>
  <c r="BE245" i="1"/>
  <c r="BM245" i="1" s="1"/>
  <c r="AV245" i="1"/>
  <c r="AJ245" i="1"/>
  <c r="AI245" i="1"/>
  <c r="AG245" i="1"/>
  <c r="AX245" i="1" s="1"/>
  <c r="AA245" i="1"/>
  <c r="AC245" i="1" s="1"/>
  <c r="V245" i="1"/>
  <c r="X245" i="1" s="1"/>
  <c r="BJ244" i="1"/>
  <c r="BI244" i="1"/>
  <c r="BH244" i="1"/>
  <c r="BE244" i="1"/>
  <c r="AV244" i="1"/>
  <c r="AJ244" i="1"/>
  <c r="AO244" i="1" s="1"/>
  <c r="AI244" i="1"/>
  <c r="AG244" i="1"/>
  <c r="AY244" i="1" s="1"/>
  <c r="AA244" i="1"/>
  <c r="AC244" i="1" s="1"/>
  <c r="V244" i="1"/>
  <c r="X244" i="1" s="1"/>
  <c r="AJ243" i="1"/>
  <c r="AI243" i="1"/>
  <c r="AG243" i="1"/>
  <c r="AA243" i="1"/>
  <c r="AB243" i="1" s="1"/>
  <c r="BJ242" i="1"/>
  <c r="BI242" i="1"/>
  <c r="BH242" i="1"/>
  <c r="BE242" i="1"/>
  <c r="AJ242" i="1"/>
  <c r="AF242" i="1"/>
  <c r="AI242" i="1" s="1"/>
  <c r="AE242" i="1"/>
  <c r="AD242" i="1"/>
  <c r="AA242" i="1"/>
  <c r="V242" i="1"/>
  <c r="X242" i="1" s="1"/>
  <c r="BJ241" i="1"/>
  <c r="BI241" i="1"/>
  <c r="BH241" i="1"/>
  <c r="BE241" i="1"/>
  <c r="BM241" i="1" s="1"/>
  <c r="AJ241" i="1"/>
  <c r="AI241" i="1"/>
  <c r="AG241" i="1"/>
  <c r="AY241" i="1" s="1"/>
  <c r="AA241" i="1"/>
  <c r="AB241" i="1" s="1"/>
  <c r="V241" i="1"/>
  <c r="X241" i="1" s="1"/>
  <c r="BJ240" i="1"/>
  <c r="BI240" i="1"/>
  <c r="BH240" i="1"/>
  <c r="BE240" i="1"/>
  <c r="BM240" i="1" s="1"/>
  <c r="AJ240" i="1"/>
  <c r="AI240" i="1"/>
  <c r="AG240" i="1"/>
  <c r="AX240" i="1" s="1"/>
  <c r="AA240" i="1"/>
  <c r="V240" i="1"/>
  <c r="X240" i="1" s="1"/>
  <c r="BJ239" i="1"/>
  <c r="BI239" i="1"/>
  <c r="BH239" i="1"/>
  <c r="BE239" i="1"/>
  <c r="AV239" i="1"/>
  <c r="AJ239" i="1"/>
  <c r="AI239" i="1"/>
  <c r="AG239" i="1"/>
  <c r="AA239" i="1"/>
  <c r="AB239" i="1" s="1"/>
  <c r="V239" i="1"/>
  <c r="X239" i="1" s="1"/>
  <c r="BJ238" i="1"/>
  <c r="BI238" i="1"/>
  <c r="BH238" i="1"/>
  <c r="BE238" i="1"/>
  <c r="BM238" i="1" s="1"/>
  <c r="AV238" i="1"/>
  <c r="AJ238" i="1"/>
  <c r="AI238" i="1"/>
  <c r="AG238" i="1"/>
  <c r="AX238" i="1" s="1"/>
  <c r="AA238" i="1"/>
  <c r="AC238" i="1" s="1"/>
  <c r="V238" i="1"/>
  <c r="X238" i="1" s="1"/>
  <c r="BJ237" i="1"/>
  <c r="BI237" i="1"/>
  <c r="BH237" i="1"/>
  <c r="BE237" i="1"/>
  <c r="AJ237" i="1"/>
  <c r="AI237" i="1"/>
  <c r="AG237" i="1"/>
  <c r="AY237" i="1" s="1"/>
  <c r="AA237" i="1"/>
  <c r="AB237" i="1" s="1"/>
  <c r="V237" i="1"/>
  <c r="X237" i="1" s="1"/>
  <c r="BJ236" i="1"/>
  <c r="BI236" i="1"/>
  <c r="BH236" i="1"/>
  <c r="BE236" i="1"/>
  <c r="BM236" i="1" s="1"/>
  <c r="AJ236" i="1"/>
  <c r="AI236" i="1"/>
  <c r="AG236" i="1"/>
  <c r="AX236" i="1" s="1"/>
  <c r="AA236" i="1"/>
  <c r="V236" i="1"/>
  <c r="X236" i="1" s="1"/>
  <c r="BJ235" i="1"/>
  <c r="BI235" i="1"/>
  <c r="BH235" i="1"/>
  <c r="BE235" i="1"/>
  <c r="AJ235" i="1"/>
  <c r="AI235" i="1"/>
  <c r="AG235" i="1"/>
  <c r="AA235" i="1"/>
  <c r="AC235" i="1" s="1"/>
  <c r="V235" i="1"/>
  <c r="X235" i="1" s="1"/>
  <c r="BJ234" i="1"/>
  <c r="BI234" i="1"/>
  <c r="BH234" i="1"/>
  <c r="BE234" i="1"/>
  <c r="BM234" i="1" s="1"/>
  <c r="AJ234" i="1"/>
  <c r="AI234" i="1"/>
  <c r="AG234" i="1"/>
  <c r="AA234" i="1"/>
  <c r="AB234" i="1" s="1"/>
  <c r="V234" i="1"/>
  <c r="X234" i="1" s="1"/>
  <c r="BJ233" i="1"/>
  <c r="BI233" i="1"/>
  <c r="BH233" i="1"/>
  <c r="BE233" i="1"/>
  <c r="BM233" i="1" s="1"/>
  <c r="AV233" i="1"/>
  <c r="AJ233" i="1"/>
  <c r="AI233" i="1"/>
  <c r="AG233" i="1"/>
  <c r="AX233" i="1" s="1"/>
  <c r="AA233" i="1"/>
  <c r="AB233" i="1" s="1"/>
  <c r="V233" i="1"/>
  <c r="X233" i="1" s="1"/>
  <c r="BJ232" i="1"/>
  <c r="BI232" i="1"/>
  <c r="BH232" i="1"/>
  <c r="BE232" i="1"/>
  <c r="AJ232" i="1"/>
  <c r="AI232" i="1"/>
  <c r="AG232" i="1"/>
  <c r="AY232" i="1" s="1"/>
  <c r="AA232" i="1"/>
  <c r="V232" i="1"/>
  <c r="X232" i="1" s="1"/>
  <c r="BJ231" i="1"/>
  <c r="BI231" i="1"/>
  <c r="BH231" i="1"/>
  <c r="BE231" i="1"/>
  <c r="BM231" i="1" s="1"/>
  <c r="AJ231" i="1"/>
  <c r="AI231" i="1"/>
  <c r="AG231" i="1"/>
  <c r="AX231" i="1" s="1"/>
  <c r="AA231" i="1"/>
  <c r="AC231" i="1" s="1"/>
  <c r="V231" i="1"/>
  <c r="X231" i="1" s="1"/>
  <c r="BJ230" i="1"/>
  <c r="BI230" i="1"/>
  <c r="BH230" i="1"/>
  <c r="BE230" i="1"/>
  <c r="AJ230" i="1"/>
  <c r="AI230" i="1"/>
  <c r="AG230" i="1"/>
  <c r="AY230" i="1" s="1"/>
  <c r="AA230" i="1"/>
  <c r="AC230" i="1" s="1"/>
  <c r="V230" i="1"/>
  <c r="X230" i="1" s="1"/>
  <c r="BJ229" i="1"/>
  <c r="BI229" i="1"/>
  <c r="BH229" i="1"/>
  <c r="BE229" i="1"/>
  <c r="BM229" i="1" s="1"/>
  <c r="AJ229" i="1"/>
  <c r="AI229" i="1"/>
  <c r="AG229" i="1"/>
  <c r="AY229" i="1" s="1"/>
  <c r="AA229" i="1"/>
  <c r="V229" i="1"/>
  <c r="X229" i="1" s="1"/>
  <c r="BJ228" i="1"/>
  <c r="BI228" i="1"/>
  <c r="BH228" i="1"/>
  <c r="BE228" i="1"/>
  <c r="AJ228" i="1"/>
  <c r="AI228" i="1"/>
  <c r="AG228" i="1"/>
  <c r="AA228" i="1"/>
  <c r="AB228" i="1" s="1"/>
  <c r="V228" i="1"/>
  <c r="X228" i="1" s="1"/>
  <c r="BJ227" i="1"/>
  <c r="BI227" i="1"/>
  <c r="BH227" i="1"/>
  <c r="BE227" i="1"/>
  <c r="AJ227" i="1"/>
  <c r="AI227" i="1"/>
  <c r="AG227" i="1"/>
  <c r="AY227" i="1" s="1"/>
  <c r="AA227" i="1"/>
  <c r="AB227" i="1" s="1"/>
  <c r="V227" i="1"/>
  <c r="X227" i="1" s="1"/>
  <c r="BJ226" i="1"/>
  <c r="BI226" i="1"/>
  <c r="BH226" i="1"/>
  <c r="BE226" i="1"/>
  <c r="BM226" i="1" s="1"/>
  <c r="AJ226" i="1"/>
  <c r="AI226" i="1"/>
  <c r="AG226" i="1"/>
  <c r="AX226" i="1" s="1"/>
  <c r="AA226" i="1"/>
  <c r="V226" i="1"/>
  <c r="X226" i="1" s="1"/>
  <c r="AJ225" i="1"/>
  <c r="AO225" i="1" s="1"/>
  <c r="AI225" i="1"/>
  <c r="AG225" i="1"/>
  <c r="AA225" i="1"/>
  <c r="AC225" i="1" s="1"/>
  <c r="V225" i="1"/>
  <c r="X225" i="1" s="1"/>
  <c r="BJ224" i="1"/>
  <c r="BI224" i="1"/>
  <c r="BH224" i="1"/>
  <c r="BE224" i="1"/>
  <c r="BM224" i="1" s="1"/>
  <c r="AJ224" i="1"/>
  <c r="AO224" i="1" s="1"/>
  <c r="AI224" i="1"/>
  <c r="AG224" i="1"/>
  <c r="AA224" i="1"/>
  <c r="AC224" i="1" s="1"/>
  <c r="V224" i="1"/>
  <c r="X224" i="1" s="1"/>
  <c r="BJ223" i="1"/>
  <c r="BI223" i="1"/>
  <c r="BH223" i="1"/>
  <c r="BE223" i="1"/>
  <c r="BM223" i="1" s="1"/>
  <c r="AJ223" i="1"/>
  <c r="AI223" i="1"/>
  <c r="AG223" i="1"/>
  <c r="AY223" i="1" s="1"/>
  <c r="AA223" i="1"/>
  <c r="AC223" i="1" s="1"/>
  <c r="V223" i="1"/>
  <c r="X223" i="1" s="1"/>
  <c r="BJ222" i="1"/>
  <c r="BI222" i="1"/>
  <c r="BH222" i="1"/>
  <c r="BE222" i="1"/>
  <c r="BM222" i="1" s="1"/>
  <c r="AJ222" i="1"/>
  <c r="AI222" i="1"/>
  <c r="AG222" i="1"/>
  <c r="AX222" i="1" s="1"/>
  <c r="AA222" i="1"/>
  <c r="AB222" i="1" s="1"/>
  <c r="V222" i="1"/>
  <c r="X222" i="1" s="1"/>
  <c r="BJ221" i="1"/>
  <c r="BI221" i="1"/>
  <c r="BH221" i="1"/>
  <c r="BE221" i="1"/>
  <c r="AV221" i="1"/>
  <c r="AJ221" i="1"/>
  <c r="AI221" i="1"/>
  <c r="AG221" i="1"/>
  <c r="AY221" i="1" s="1"/>
  <c r="AA221" i="1"/>
  <c r="V221" i="1"/>
  <c r="X221" i="1" s="1"/>
  <c r="BJ220" i="1"/>
  <c r="BI220" i="1"/>
  <c r="BH220" i="1"/>
  <c r="BE220" i="1"/>
  <c r="BM220" i="1" s="1"/>
  <c r="AV220" i="1"/>
  <c r="AJ220" i="1"/>
  <c r="AO220" i="1" s="1"/>
  <c r="AI220" i="1"/>
  <c r="AG220" i="1"/>
  <c r="AX220" i="1" s="1"/>
  <c r="AA220" i="1"/>
  <c r="AB220" i="1" s="1"/>
  <c r="V220" i="1"/>
  <c r="X220" i="1" s="1"/>
  <c r="BJ219" i="1"/>
  <c r="BI219" i="1"/>
  <c r="BH219" i="1"/>
  <c r="BE219" i="1"/>
  <c r="BM219" i="1" s="1"/>
  <c r="AV219" i="1"/>
  <c r="AJ219" i="1"/>
  <c r="AI219" i="1"/>
  <c r="AG219" i="1"/>
  <c r="AX219" i="1" s="1"/>
  <c r="AA219" i="1"/>
  <c r="AC219" i="1" s="1"/>
  <c r="V219" i="1"/>
  <c r="X219" i="1" s="1"/>
  <c r="BJ218" i="1"/>
  <c r="BI218" i="1"/>
  <c r="BH218" i="1"/>
  <c r="BE218" i="1"/>
  <c r="AJ218" i="1"/>
  <c r="AI218" i="1"/>
  <c r="AG218" i="1"/>
  <c r="AX218" i="1" s="1"/>
  <c r="AA218" i="1"/>
  <c r="V218" i="1"/>
  <c r="X218" i="1" s="1"/>
  <c r="BJ217" i="1"/>
  <c r="BI217" i="1"/>
  <c r="BH217" i="1"/>
  <c r="BE217" i="1"/>
  <c r="BM217" i="1" s="1"/>
  <c r="AV217" i="1"/>
  <c r="AJ217" i="1"/>
  <c r="AI217" i="1"/>
  <c r="AG217" i="1"/>
  <c r="AX217" i="1" s="1"/>
  <c r="AA217" i="1"/>
  <c r="V217" i="1"/>
  <c r="X217" i="1" s="1"/>
  <c r="BJ216" i="1"/>
  <c r="BI216" i="1"/>
  <c r="BH216" i="1"/>
  <c r="BE216" i="1"/>
  <c r="AJ216" i="1"/>
  <c r="AI216" i="1"/>
  <c r="AG216" i="1"/>
  <c r="AY216" i="1" s="1"/>
  <c r="AA216" i="1"/>
  <c r="AB216" i="1" s="1"/>
  <c r="V216" i="1"/>
  <c r="X216" i="1" s="1"/>
  <c r="BJ215" i="1"/>
  <c r="BI215" i="1"/>
  <c r="BH215" i="1"/>
  <c r="BE215" i="1"/>
  <c r="BM215" i="1" s="1"/>
  <c r="AJ215" i="1"/>
  <c r="AI215" i="1"/>
  <c r="AG215" i="1"/>
  <c r="AY215" i="1" s="1"/>
  <c r="AA215" i="1"/>
  <c r="V215" i="1"/>
  <c r="X215" i="1" s="1"/>
  <c r="BJ214" i="1"/>
  <c r="BI214" i="1"/>
  <c r="BH214" i="1"/>
  <c r="BE214" i="1"/>
  <c r="BM214" i="1" s="1"/>
  <c r="AJ214" i="1"/>
  <c r="AI214" i="1"/>
  <c r="AG214" i="1"/>
  <c r="AA214" i="1"/>
  <c r="AC214" i="1" s="1"/>
  <c r="V214" i="1"/>
  <c r="X214" i="1" s="1"/>
  <c r="BJ213" i="1"/>
  <c r="BI213" i="1"/>
  <c r="BH213" i="1"/>
  <c r="BE213" i="1"/>
  <c r="AJ213" i="1"/>
  <c r="AI213" i="1"/>
  <c r="AG213" i="1"/>
  <c r="AA213" i="1"/>
  <c r="AB213" i="1" s="1"/>
  <c r="V213" i="1"/>
  <c r="X213" i="1" s="1"/>
  <c r="BJ212" i="1"/>
  <c r="BI212" i="1"/>
  <c r="BH212" i="1"/>
  <c r="BE212" i="1"/>
  <c r="AJ212" i="1"/>
  <c r="AI212" i="1"/>
  <c r="AG212" i="1"/>
  <c r="AX212" i="1" s="1"/>
  <c r="AA212" i="1"/>
  <c r="AB212" i="1" s="1"/>
  <c r="V212" i="1"/>
  <c r="X212" i="1" s="1"/>
  <c r="BJ211" i="1"/>
  <c r="BI211" i="1"/>
  <c r="BH211" i="1"/>
  <c r="BE211" i="1"/>
  <c r="BM211" i="1" s="1"/>
  <c r="AJ211" i="1"/>
  <c r="AI211" i="1"/>
  <c r="AG211" i="1"/>
  <c r="AA211" i="1"/>
  <c r="AC211" i="1" s="1"/>
  <c r="V211" i="1"/>
  <c r="X211" i="1" s="1"/>
  <c r="BJ210" i="1"/>
  <c r="BI210" i="1"/>
  <c r="BH210" i="1"/>
  <c r="BE210" i="1"/>
  <c r="BM210" i="1" s="1"/>
  <c r="AJ210" i="1"/>
  <c r="AO210" i="1" s="1"/>
  <c r="AI210" i="1"/>
  <c r="AG210" i="1"/>
  <c r="AY210" i="1" s="1"/>
  <c r="AA210" i="1"/>
  <c r="V210" i="1"/>
  <c r="X210" i="1" s="1"/>
  <c r="BJ209" i="1"/>
  <c r="BI209" i="1"/>
  <c r="BH209" i="1"/>
  <c r="BE209" i="1"/>
  <c r="BM209" i="1" s="1"/>
  <c r="AJ209" i="1"/>
  <c r="AI209" i="1"/>
  <c r="AG209" i="1"/>
  <c r="AA209" i="1"/>
  <c r="AC209" i="1" s="1"/>
  <c r="V209" i="1"/>
  <c r="X209" i="1" s="1"/>
  <c r="BJ208" i="1"/>
  <c r="BI208" i="1"/>
  <c r="BH208" i="1"/>
  <c r="BE208" i="1"/>
  <c r="AJ208" i="1"/>
  <c r="AI208" i="1"/>
  <c r="AG208" i="1"/>
  <c r="AY208" i="1" s="1"/>
  <c r="AA208" i="1"/>
  <c r="AB208" i="1" s="1"/>
  <c r="V208" i="1"/>
  <c r="X208" i="1" s="1"/>
  <c r="AJ207" i="1"/>
  <c r="AI207" i="1"/>
  <c r="AG207" i="1"/>
  <c r="AA207" i="1"/>
  <c r="BJ206" i="1"/>
  <c r="BI206" i="1"/>
  <c r="BH206" i="1"/>
  <c r="BE206" i="1"/>
  <c r="AJ206" i="1"/>
  <c r="AF206" i="1"/>
  <c r="AE206" i="1"/>
  <c r="AD206" i="1"/>
  <c r="AA206" i="1"/>
  <c r="V206" i="1"/>
  <c r="X206" i="1" s="1"/>
  <c r="BJ205" i="1"/>
  <c r="BI205" i="1"/>
  <c r="BH205" i="1"/>
  <c r="BE205" i="1"/>
  <c r="BM205" i="1" s="1"/>
  <c r="AJ205" i="1"/>
  <c r="AI205" i="1"/>
  <c r="AG205" i="1"/>
  <c r="AY205" i="1" s="1"/>
  <c r="AA205" i="1"/>
  <c r="V205" i="1"/>
  <c r="X205" i="1" s="1"/>
  <c r="BJ204" i="1"/>
  <c r="BI204" i="1"/>
  <c r="BH204" i="1"/>
  <c r="BE204" i="1"/>
  <c r="BM204" i="1" s="1"/>
  <c r="AJ204" i="1"/>
  <c r="AI204" i="1"/>
  <c r="AG204" i="1"/>
  <c r="AA204" i="1"/>
  <c r="AB204" i="1" s="1"/>
  <c r="V204" i="1"/>
  <c r="X204" i="1" s="1"/>
  <c r="BJ203" i="1"/>
  <c r="BI203" i="1"/>
  <c r="BH203" i="1"/>
  <c r="BE203" i="1"/>
  <c r="AJ203" i="1"/>
  <c r="AI203" i="1"/>
  <c r="AG203" i="1"/>
  <c r="AY203" i="1" s="1"/>
  <c r="AA203" i="1"/>
  <c r="AC203" i="1" s="1"/>
  <c r="V203" i="1"/>
  <c r="X203" i="1" s="1"/>
  <c r="BJ202" i="1"/>
  <c r="BI202" i="1"/>
  <c r="BH202" i="1"/>
  <c r="BE202" i="1"/>
  <c r="BM202" i="1" s="1"/>
  <c r="AJ202" i="1"/>
  <c r="AI202" i="1"/>
  <c r="AG202" i="1"/>
  <c r="AY202" i="1" s="1"/>
  <c r="AA202" i="1"/>
  <c r="V202" i="1"/>
  <c r="X202" i="1" s="1"/>
  <c r="BJ201" i="1"/>
  <c r="BI201" i="1"/>
  <c r="BH201" i="1"/>
  <c r="BE201" i="1"/>
  <c r="BM201" i="1" s="1"/>
  <c r="AJ201" i="1"/>
  <c r="AI201" i="1"/>
  <c r="AG201" i="1"/>
  <c r="AA201" i="1"/>
  <c r="AB201" i="1" s="1"/>
  <c r="V201" i="1"/>
  <c r="X201" i="1" s="1"/>
  <c r="BJ200" i="1"/>
  <c r="BI200" i="1"/>
  <c r="BH200" i="1"/>
  <c r="BE200" i="1"/>
  <c r="AJ200" i="1"/>
  <c r="AI200" i="1"/>
  <c r="AG200" i="1"/>
  <c r="AX200" i="1" s="1"/>
  <c r="AA200" i="1"/>
  <c r="AB200" i="1" s="1"/>
  <c r="V200" i="1"/>
  <c r="X200" i="1" s="1"/>
  <c r="BJ199" i="1"/>
  <c r="BI199" i="1"/>
  <c r="BH199" i="1"/>
  <c r="BE199" i="1"/>
  <c r="BM199" i="1" s="1"/>
  <c r="AJ199" i="1"/>
  <c r="AO199" i="1" s="1"/>
  <c r="AI199" i="1"/>
  <c r="AG199" i="1"/>
  <c r="AX199" i="1" s="1"/>
  <c r="AA199" i="1"/>
  <c r="AB199" i="1" s="1"/>
  <c r="V199" i="1"/>
  <c r="X199" i="1" s="1"/>
  <c r="BJ198" i="1"/>
  <c r="BI198" i="1"/>
  <c r="BH198" i="1"/>
  <c r="BE198" i="1"/>
  <c r="AJ198" i="1"/>
  <c r="AI198" i="1"/>
  <c r="AG198" i="1"/>
  <c r="AY198" i="1" s="1"/>
  <c r="AA198" i="1"/>
  <c r="AB198" i="1" s="1"/>
  <c r="V198" i="1"/>
  <c r="X198" i="1" s="1"/>
  <c r="BJ197" i="1"/>
  <c r="BI197" i="1"/>
  <c r="BH197" i="1"/>
  <c r="BE197" i="1"/>
  <c r="BM197" i="1" s="1"/>
  <c r="AJ197" i="1"/>
  <c r="AI197" i="1"/>
  <c r="AG197" i="1"/>
  <c r="AX197" i="1" s="1"/>
  <c r="AA197" i="1"/>
  <c r="V197" i="1"/>
  <c r="X197" i="1" s="1"/>
  <c r="BJ196" i="1"/>
  <c r="BI196" i="1"/>
  <c r="BH196" i="1"/>
  <c r="BE196" i="1"/>
  <c r="BM196" i="1" s="1"/>
  <c r="AJ196" i="1"/>
  <c r="AI196" i="1"/>
  <c r="AG196" i="1"/>
  <c r="AA196" i="1"/>
  <c r="AC196" i="1" s="1"/>
  <c r="V196" i="1"/>
  <c r="X196" i="1" s="1"/>
  <c r="BJ195" i="1"/>
  <c r="BI195" i="1"/>
  <c r="BH195" i="1"/>
  <c r="BE195" i="1"/>
  <c r="AJ195" i="1"/>
  <c r="AI195" i="1"/>
  <c r="AG195" i="1"/>
  <c r="AX195" i="1" s="1"/>
  <c r="AA195" i="1"/>
  <c r="AB195" i="1" s="1"/>
  <c r="V195" i="1"/>
  <c r="X195" i="1" s="1"/>
  <c r="BJ194" i="1"/>
  <c r="BI194" i="1"/>
  <c r="BH194" i="1"/>
  <c r="BE194" i="1"/>
  <c r="BM194" i="1" s="1"/>
  <c r="AJ194" i="1"/>
  <c r="AO194" i="1" s="1"/>
  <c r="AI194" i="1"/>
  <c r="AG194" i="1"/>
  <c r="AX194" i="1" s="1"/>
  <c r="AA194" i="1"/>
  <c r="AC194" i="1" s="1"/>
  <c r="V194" i="1"/>
  <c r="X194" i="1" s="1"/>
  <c r="BJ193" i="1"/>
  <c r="BI193" i="1"/>
  <c r="BH193" i="1"/>
  <c r="BE193" i="1"/>
  <c r="AJ193" i="1"/>
  <c r="AO193" i="1" s="1"/>
  <c r="AI193" i="1"/>
  <c r="AG193" i="1"/>
  <c r="AX193" i="1" s="1"/>
  <c r="AA193" i="1"/>
  <c r="AB193" i="1" s="1"/>
  <c r="V193" i="1"/>
  <c r="X193" i="1" s="1"/>
  <c r="BJ192" i="1"/>
  <c r="BI192" i="1"/>
  <c r="BH192" i="1"/>
  <c r="BE192" i="1"/>
  <c r="AJ192" i="1"/>
  <c r="AI192" i="1"/>
  <c r="AG192" i="1"/>
  <c r="AY192" i="1" s="1"/>
  <c r="AA192" i="1"/>
  <c r="AC192" i="1" s="1"/>
  <c r="V192" i="1"/>
  <c r="X192" i="1" s="1"/>
  <c r="BJ191" i="1"/>
  <c r="BI191" i="1"/>
  <c r="BH191" i="1"/>
  <c r="BE191" i="1"/>
  <c r="BM191" i="1" s="1"/>
  <c r="AJ191" i="1"/>
  <c r="AI191" i="1"/>
  <c r="AG191" i="1"/>
  <c r="AY191" i="1" s="1"/>
  <c r="AA191" i="1"/>
  <c r="AC191" i="1" s="1"/>
  <c r="V191" i="1"/>
  <c r="X191" i="1" s="1"/>
  <c r="BJ190" i="1"/>
  <c r="BI190" i="1"/>
  <c r="BH190" i="1"/>
  <c r="BE190" i="1"/>
  <c r="AJ190" i="1"/>
  <c r="AI190" i="1"/>
  <c r="AG190" i="1"/>
  <c r="AY190" i="1" s="1"/>
  <c r="AA190" i="1"/>
  <c r="V190" i="1"/>
  <c r="X190" i="1" s="1"/>
  <c r="BJ189" i="1"/>
  <c r="BI189" i="1"/>
  <c r="BH189" i="1"/>
  <c r="BE189" i="1"/>
  <c r="AJ189" i="1"/>
  <c r="AI189" i="1"/>
  <c r="AG189" i="1"/>
  <c r="AA189" i="1"/>
  <c r="AB189" i="1" s="1"/>
  <c r="V189" i="1"/>
  <c r="X189" i="1" s="1"/>
  <c r="BJ188" i="1"/>
  <c r="BI188" i="1"/>
  <c r="BH188" i="1"/>
  <c r="BE188" i="1"/>
  <c r="AJ188" i="1"/>
  <c r="AI188" i="1"/>
  <c r="AG188" i="1"/>
  <c r="AX188" i="1" s="1"/>
  <c r="AA188" i="1"/>
  <c r="AC188" i="1" s="1"/>
  <c r="V188" i="1"/>
  <c r="X188" i="1" s="1"/>
  <c r="BJ187" i="1"/>
  <c r="BI187" i="1"/>
  <c r="BH187" i="1"/>
  <c r="BE187" i="1"/>
  <c r="AJ187" i="1"/>
  <c r="AI187" i="1"/>
  <c r="AG187" i="1"/>
  <c r="AX187" i="1" s="1"/>
  <c r="AA187" i="1"/>
  <c r="V187" i="1"/>
  <c r="X187" i="1" s="1"/>
  <c r="BJ186" i="1"/>
  <c r="BI186" i="1"/>
  <c r="BH186" i="1"/>
  <c r="BE186" i="1"/>
  <c r="BM186" i="1" s="1"/>
  <c r="AJ186" i="1"/>
  <c r="AI186" i="1"/>
  <c r="AG186" i="1"/>
  <c r="AA186" i="1"/>
  <c r="AB186" i="1" s="1"/>
  <c r="V186" i="1"/>
  <c r="X186" i="1" s="1"/>
  <c r="BJ185" i="1"/>
  <c r="BI185" i="1"/>
  <c r="BH185" i="1"/>
  <c r="BE185" i="1"/>
  <c r="AJ185" i="1"/>
  <c r="AO185" i="1" s="1"/>
  <c r="AI185" i="1"/>
  <c r="AG185" i="1"/>
  <c r="AY185" i="1" s="1"/>
  <c r="AA185" i="1"/>
  <c r="V185" i="1"/>
  <c r="X185" i="1" s="1"/>
  <c r="BJ184" i="1"/>
  <c r="BI184" i="1"/>
  <c r="BH184" i="1"/>
  <c r="BE184" i="1"/>
  <c r="BM184" i="1" s="1"/>
  <c r="AJ184" i="1"/>
  <c r="AI184" i="1"/>
  <c r="AG184" i="1"/>
  <c r="AA184" i="1"/>
  <c r="AB184" i="1" s="1"/>
  <c r="V184" i="1"/>
  <c r="X184" i="1" s="1"/>
  <c r="BJ183" i="1"/>
  <c r="BI183" i="1"/>
  <c r="BH183" i="1"/>
  <c r="BE183" i="1"/>
  <c r="AJ183" i="1"/>
  <c r="AO183" i="1" s="1"/>
  <c r="AI183" i="1"/>
  <c r="AG183" i="1"/>
  <c r="AA183" i="1"/>
  <c r="V183" i="1"/>
  <c r="X183" i="1" s="1"/>
  <c r="AJ182" i="1"/>
  <c r="AO182" i="1" s="1"/>
  <c r="AI182" i="1"/>
  <c r="AG182" i="1"/>
  <c r="AA182" i="1"/>
  <c r="AC182" i="1" s="1"/>
  <c r="BJ181" i="1"/>
  <c r="BI181" i="1"/>
  <c r="BH181" i="1"/>
  <c r="BE181" i="1"/>
  <c r="BM181" i="1" s="1"/>
  <c r="AJ181" i="1"/>
  <c r="AF181" i="1"/>
  <c r="AI181" i="1" s="1"/>
  <c r="AE181" i="1"/>
  <c r="AA181" i="1"/>
  <c r="AB181" i="1" s="1"/>
  <c r="V181" i="1"/>
  <c r="X181" i="1" s="1"/>
  <c r="BJ180" i="1"/>
  <c r="BI180" i="1"/>
  <c r="BH180" i="1"/>
  <c r="BE180" i="1"/>
  <c r="BM180" i="1" s="1"/>
  <c r="AJ180" i="1"/>
  <c r="AI180" i="1"/>
  <c r="AG180" i="1"/>
  <c r="AY180" i="1" s="1"/>
  <c r="AA180" i="1"/>
  <c r="AB180" i="1" s="1"/>
  <c r="V180" i="1"/>
  <c r="X180" i="1" s="1"/>
  <c r="BJ179" i="1"/>
  <c r="BI179" i="1"/>
  <c r="BH179" i="1"/>
  <c r="BE179" i="1"/>
  <c r="BM179" i="1" s="1"/>
  <c r="AJ179" i="1"/>
  <c r="AI179" i="1"/>
  <c r="AG179" i="1"/>
  <c r="AX179" i="1" s="1"/>
  <c r="AA179" i="1"/>
  <c r="V179" i="1"/>
  <c r="X179" i="1" s="1"/>
  <c r="BJ178" i="1"/>
  <c r="BI178" i="1"/>
  <c r="BH178" i="1"/>
  <c r="BE178" i="1"/>
  <c r="BM178" i="1" s="1"/>
  <c r="AJ178" i="1"/>
  <c r="AI178" i="1"/>
  <c r="AG178" i="1"/>
  <c r="AA178" i="1"/>
  <c r="AC178" i="1" s="1"/>
  <c r="V178" i="1"/>
  <c r="X178" i="1" s="1"/>
  <c r="BJ177" i="1"/>
  <c r="BI177" i="1"/>
  <c r="BH177" i="1"/>
  <c r="BE177" i="1"/>
  <c r="AJ177" i="1"/>
  <c r="AI177" i="1"/>
  <c r="AG177" i="1"/>
  <c r="AA177" i="1"/>
  <c r="AB177" i="1" s="1"/>
  <c r="V177" i="1"/>
  <c r="X177" i="1" s="1"/>
  <c r="BJ176" i="1"/>
  <c r="BI176" i="1"/>
  <c r="BH176" i="1"/>
  <c r="BE176" i="1"/>
  <c r="AJ176" i="1"/>
  <c r="AI176" i="1"/>
  <c r="AG176" i="1"/>
  <c r="AA176" i="1"/>
  <c r="V176" i="1"/>
  <c r="X176" i="1" s="1"/>
  <c r="BJ175" i="1"/>
  <c r="BI175" i="1"/>
  <c r="BH175" i="1"/>
  <c r="BE175" i="1"/>
  <c r="BM175" i="1" s="1"/>
  <c r="AJ175" i="1"/>
  <c r="AI175" i="1"/>
  <c r="AG175" i="1"/>
  <c r="AA175" i="1"/>
  <c r="V175" i="1"/>
  <c r="X175" i="1" s="1"/>
  <c r="BJ174" i="1"/>
  <c r="BI174" i="1"/>
  <c r="BH174" i="1"/>
  <c r="BE174" i="1"/>
  <c r="AJ174" i="1"/>
  <c r="AO174" i="1" s="1"/>
  <c r="AI174" i="1"/>
  <c r="AG174" i="1"/>
  <c r="AY174" i="1" s="1"/>
  <c r="AA174" i="1"/>
  <c r="V174" i="1"/>
  <c r="X174" i="1" s="1"/>
  <c r="BJ173" i="1"/>
  <c r="BI173" i="1"/>
  <c r="BH173" i="1"/>
  <c r="BE173" i="1"/>
  <c r="BM173" i="1" s="1"/>
  <c r="AV173" i="1"/>
  <c r="AJ173" i="1"/>
  <c r="AI173" i="1"/>
  <c r="AG173" i="1"/>
  <c r="AA173" i="1"/>
  <c r="V173" i="1"/>
  <c r="X173" i="1" s="1"/>
  <c r="BJ172" i="1"/>
  <c r="BI172" i="1"/>
  <c r="BH172" i="1"/>
  <c r="BE172" i="1"/>
  <c r="BM172" i="1" s="1"/>
  <c r="AJ172" i="1"/>
  <c r="AI172" i="1"/>
  <c r="AG172" i="1"/>
  <c r="AX172" i="1" s="1"/>
  <c r="AA172" i="1"/>
  <c r="V172" i="1"/>
  <c r="X172" i="1" s="1"/>
  <c r="BJ171" i="1"/>
  <c r="BI171" i="1"/>
  <c r="BH171" i="1"/>
  <c r="BE171" i="1"/>
  <c r="AI171" i="1"/>
  <c r="AP171" i="1" s="1"/>
  <c r="AQ171" i="1" s="1"/>
  <c r="AG171" i="1"/>
  <c r="AY171" i="1" s="1"/>
  <c r="AA171" i="1"/>
  <c r="V171" i="1"/>
  <c r="X171" i="1" s="1"/>
  <c r="AJ170" i="1"/>
  <c r="AI170" i="1"/>
  <c r="AG170" i="1"/>
  <c r="AA170" i="1"/>
  <c r="AC170" i="1" s="1"/>
  <c r="BJ169" i="1"/>
  <c r="BI169" i="1"/>
  <c r="BH169" i="1"/>
  <c r="BE169" i="1"/>
  <c r="BM169" i="1" s="1"/>
  <c r="AJ169" i="1"/>
  <c r="AF169" i="1"/>
  <c r="AI169" i="1" s="1"/>
  <c r="AE169" i="1"/>
  <c r="AD169" i="1"/>
  <c r="AA169" i="1"/>
  <c r="V169" i="1"/>
  <c r="X169" i="1" s="1"/>
  <c r="BJ168" i="1"/>
  <c r="BI168" i="1"/>
  <c r="BH168" i="1"/>
  <c r="BE168" i="1"/>
  <c r="BM168" i="1" s="1"/>
  <c r="AJ168" i="1"/>
  <c r="AI168" i="1"/>
  <c r="AG168" i="1"/>
  <c r="AA168" i="1"/>
  <c r="AC168" i="1" s="1"/>
  <c r="V168" i="1"/>
  <c r="X168" i="1" s="1"/>
  <c r="BJ167" i="1"/>
  <c r="BI167" i="1"/>
  <c r="BH167" i="1"/>
  <c r="BE167" i="1"/>
  <c r="BM167" i="1" s="1"/>
  <c r="AJ167" i="1"/>
  <c r="AI167" i="1"/>
  <c r="AG167" i="1"/>
  <c r="AY167" i="1" s="1"/>
  <c r="AA167" i="1"/>
  <c r="AC167" i="1" s="1"/>
  <c r="V167" i="1"/>
  <c r="X167" i="1" s="1"/>
  <c r="BJ166" i="1"/>
  <c r="BI166" i="1"/>
  <c r="BH166" i="1"/>
  <c r="BE166" i="1"/>
  <c r="BM166" i="1" s="1"/>
  <c r="AJ166" i="1"/>
  <c r="AI166" i="1"/>
  <c r="AG166" i="1"/>
  <c r="AX166" i="1" s="1"/>
  <c r="AA166" i="1"/>
  <c r="AB166" i="1" s="1"/>
  <c r="V166" i="1"/>
  <c r="X166" i="1" s="1"/>
  <c r="BJ165" i="1"/>
  <c r="BI165" i="1"/>
  <c r="BH165" i="1"/>
  <c r="BE165" i="1"/>
  <c r="AJ165" i="1"/>
  <c r="AO165" i="1" s="1"/>
  <c r="AI165" i="1"/>
  <c r="AG165" i="1"/>
  <c r="AX165" i="1" s="1"/>
  <c r="AA165" i="1"/>
  <c r="AB165" i="1" s="1"/>
  <c r="V165" i="1"/>
  <c r="X165" i="1" s="1"/>
  <c r="BJ164" i="1"/>
  <c r="BI164" i="1"/>
  <c r="BH164" i="1"/>
  <c r="BE164" i="1"/>
  <c r="BM164" i="1" s="1"/>
  <c r="AJ164" i="1"/>
  <c r="AI164" i="1"/>
  <c r="AG164" i="1"/>
  <c r="AX164" i="1" s="1"/>
  <c r="AA164" i="1"/>
  <c r="AC164" i="1" s="1"/>
  <c r="V164" i="1"/>
  <c r="X164" i="1" s="1"/>
  <c r="BJ163" i="1"/>
  <c r="BI163" i="1"/>
  <c r="BH163" i="1"/>
  <c r="BE163" i="1"/>
  <c r="AJ163" i="1"/>
  <c r="AI163" i="1"/>
  <c r="AG163" i="1"/>
  <c r="AX163" i="1" s="1"/>
  <c r="AA163" i="1"/>
  <c r="AC163" i="1" s="1"/>
  <c r="V163" i="1"/>
  <c r="X163" i="1" s="1"/>
  <c r="BJ162" i="1"/>
  <c r="BI162" i="1"/>
  <c r="BH162" i="1"/>
  <c r="BE162" i="1"/>
  <c r="BM162" i="1" s="1"/>
  <c r="AJ162" i="1"/>
  <c r="AI162" i="1"/>
  <c r="AG162" i="1"/>
  <c r="AY162" i="1" s="1"/>
  <c r="AA162" i="1"/>
  <c r="AC162" i="1" s="1"/>
  <c r="V162" i="1"/>
  <c r="X162" i="1" s="1"/>
  <c r="BJ161" i="1"/>
  <c r="BI161" i="1"/>
  <c r="BH161" i="1"/>
  <c r="BE161" i="1"/>
  <c r="BM161" i="1" s="1"/>
  <c r="AJ161" i="1"/>
  <c r="AI161" i="1"/>
  <c r="AG161" i="1"/>
  <c r="AY161" i="1" s="1"/>
  <c r="AA161" i="1"/>
  <c r="AB161" i="1" s="1"/>
  <c r="V161" i="1"/>
  <c r="X161" i="1" s="1"/>
  <c r="BJ160" i="1"/>
  <c r="BI160" i="1"/>
  <c r="BH160" i="1"/>
  <c r="BE160" i="1"/>
  <c r="BM160" i="1" s="1"/>
  <c r="AJ160" i="1"/>
  <c r="AI160" i="1"/>
  <c r="AG160" i="1"/>
  <c r="AX160" i="1" s="1"/>
  <c r="AA160" i="1"/>
  <c r="V160" i="1"/>
  <c r="X160" i="1" s="1"/>
  <c r="BJ159" i="1"/>
  <c r="BI159" i="1"/>
  <c r="BH159" i="1"/>
  <c r="BE159" i="1"/>
  <c r="AJ159" i="1"/>
  <c r="AI159" i="1"/>
  <c r="AG159" i="1"/>
  <c r="AX159" i="1" s="1"/>
  <c r="AA159" i="1"/>
  <c r="AC159" i="1" s="1"/>
  <c r="V159" i="1"/>
  <c r="X159" i="1" s="1"/>
  <c r="BJ158" i="1"/>
  <c r="BI158" i="1"/>
  <c r="BH158" i="1"/>
  <c r="BE158" i="1"/>
  <c r="BM158" i="1" s="1"/>
  <c r="AJ158" i="1"/>
  <c r="AI158" i="1"/>
  <c r="AG158" i="1"/>
  <c r="AA158" i="1"/>
  <c r="V158" i="1"/>
  <c r="X158" i="1" s="1"/>
  <c r="BJ157" i="1"/>
  <c r="BI157" i="1"/>
  <c r="BH157" i="1"/>
  <c r="BE157" i="1"/>
  <c r="BM157" i="1" s="1"/>
  <c r="AJ157" i="1"/>
  <c r="AI157" i="1"/>
  <c r="AG157" i="1"/>
  <c r="AA157" i="1"/>
  <c r="AB157" i="1" s="1"/>
  <c r="V157" i="1"/>
  <c r="X157" i="1" s="1"/>
  <c r="BJ156" i="1"/>
  <c r="BI156" i="1"/>
  <c r="BH156" i="1"/>
  <c r="BE156" i="1"/>
  <c r="AJ156" i="1"/>
  <c r="AO156" i="1" s="1"/>
  <c r="AI156" i="1"/>
  <c r="AG156" i="1"/>
  <c r="AY156" i="1" s="1"/>
  <c r="AA156" i="1"/>
  <c r="AB156" i="1" s="1"/>
  <c r="V156" i="1"/>
  <c r="X156" i="1" s="1"/>
  <c r="BJ155" i="1"/>
  <c r="BI155" i="1"/>
  <c r="BH155" i="1"/>
  <c r="BE155" i="1"/>
  <c r="BM155" i="1" s="1"/>
  <c r="AJ155" i="1"/>
  <c r="AI155" i="1"/>
  <c r="AG155" i="1"/>
  <c r="AX155" i="1" s="1"/>
  <c r="AA155" i="1"/>
  <c r="AB155" i="1" s="1"/>
  <c r="V155" i="1"/>
  <c r="X155" i="1" s="1"/>
  <c r="BJ154" i="1"/>
  <c r="BI154" i="1"/>
  <c r="BH154" i="1"/>
  <c r="BE154" i="1"/>
  <c r="BM154" i="1" s="1"/>
  <c r="AJ154" i="1"/>
  <c r="AI154" i="1"/>
  <c r="AG154" i="1"/>
  <c r="AY154" i="1" s="1"/>
  <c r="AA154" i="1"/>
  <c r="AC154" i="1" s="1"/>
  <c r="V154" i="1"/>
  <c r="X154" i="1" s="1"/>
  <c r="BJ153" i="1"/>
  <c r="BI153" i="1"/>
  <c r="BH153" i="1"/>
  <c r="BE153" i="1"/>
  <c r="BM153" i="1" s="1"/>
  <c r="AJ153" i="1"/>
  <c r="AO153" i="1" s="1"/>
  <c r="AI153" i="1"/>
  <c r="AG153" i="1"/>
  <c r="AY153" i="1" s="1"/>
  <c r="AA153" i="1"/>
  <c r="AC153" i="1" s="1"/>
  <c r="V153" i="1"/>
  <c r="X153" i="1" s="1"/>
  <c r="BJ152" i="1"/>
  <c r="BI152" i="1"/>
  <c r="BH152" i="1"/>
  <c r="BE152" i="1"/>
  <c r="BM152" i="1" s="1"/>
  <c r="AJ152" i="1"/>
  <c r="AI152" i="1"/>
  <c r="AG152" i="1"/>
  <c r="AY152" i="1" s="1"/>
  <c r="AA152" i="1"/>
  <c r="AB152" i="1" s="1"/>
  <c r="V152" i="1"/>
  <c r="X152" i="1" s="1"/>
  <c r="BJ151" i="1"/>
  <c r="BI151" i="1"/>
  <c r="BH151" i="1"/>
  <c r="BE151" i="1"/>
  <c r="BM151" i="1" s="1"/>
  <c r="AJ151" i="1"/>
  <c r="AI151" i="1"/>
  <c r="AG151" i="1"/>
  <c r="AA151" i="1"/>
  <c r="AC151" i="1" s="1"/>
  <c r="V151" i="1"/>
  <c r="X151" i="1" s="1"/>
  <c r="BJ150" i="1"/>
  <c r="BI150" i="1"/>
  <c r="BH150" i="1"/>
  <c r="BE150" i="1"/>
  <c r="BM150" i="1" s="1"/>
  <c r="AJ150" i="1"/>
  <c r="AI150" i="1"/>
  <c r="AG150" i="1"/>
  <c r="AY150" i="1" s="1"/>
  <c r="AA150" i="1"/>
  <c r="AC150" i="1" s="1"/>
  <c r="V150" i="1"/>
  <c r="X150" i="1" s="1"/>
  <c r="BJ149" i="1"/>
  <c r="BI149" i="1"/>
  <c r="BH149" i="1"/>
  <c r="BE149" i="1"/>
  <c r="BM149" i="1" s="1"/>
  <c r="AJ149" i="1"/>
  <c r="AI149" i="1"/>
  <c r="AG149" i="1"/>
  <c r="AA149" i="1"/>
  <c r="AB149" i="1" s="1"/>
  <c r="V149" i="1"/>
  <c r="X149" i="1" s="1"/>
  <c r="BJ148" i="1"/>
  <c r="BI148" i="1"/>
  <c r="BH148" i="1"/>
  <c r="BE148" i="1"/>
  <c r="BM148" i="1" s="1"/>
  <c r="AJ148" i="1"/>
  <c r="AI148" i="1"/>
  <c r="AG148" i="1"/>
  <c r="AX148" i="1" s="1"/>
  <c r="AA148" i="1"/>
  <c r="AC148" i="1" s="1"/>
  <c r="V148" i="1"/>
  <c r="X148" i="1" s="1"/>
  <c r="BJ147" i="1"/>
  <c r="BI147" i="1"/>
  <c r="BH147" i="1"/>
  <c r="BE147" i="1"/>
  <c r="AJ147" i="1"/>
  <c r="AI147" i="1"/>
  <c r="AG147" i="1"/>
  <c r="AY147" i="1" s="1"/>
  <c r="AA147" i="1"/>
  <c r="AB147" i="1" s="1"/>
  <c r="V147" i="1"/>
  <c r="X147" i="1" s="1"/>
  <c r="BJ146" i="1"/>
  <c r="BI146" i="1"/>
  <c r="BH146" i="1"/>
  <c r="BE146" i="1"/>
  <c r="AJ146" i="1"/>
  <c r="AI146" i="1"/>
  <c r="AG146" i="1"/>
  <c r="AY146" i="1" s="1"/>
  <c r="AA146" i="1"/>
  <c r="AC146" i="1" s="1"/>
  <c r="V146" i="1"/>
  <c r="X146" i="1" s="1"/>
  <c r="BJ145" i="1"/>
  <c r="BI145" i="1"/>
  <c r="BH145" i="1"/>
  <c r="BE145" i="1"/>
  <c r="BM145" i="1" s="1"/>
  <c r="AJ145" i="1"/>
  <c r="AI145" i="1"/>
  <c r="AG145" i="1"/>
  <c r="AY145" i="1" s="1"/>
  <c r="AA145" i="1"/>
  <c r="AB145" i="1" s="1"/>
  <c r="V145" i="1"/>
  <c r="X145" i="1" s="1"/>
  <c r="BJ144" i="1"/>
  <c r="BI144" i="1"/>
  <c r="BH144" i="1"/>
  <c r="BE144" i="1"/>
  <c r="BM144" i="1" s="1"/>
  <c r="AJ144" i="1"/>
  <c r="AO144" i="1" s="1"/>
  <c r="AI144" i="1"/>
  <c r="AG144" i="1"/>
  <c r="AX144" i="1" s="1"/>
  <c r="AA144" i="1"/>
  <c r="AB144" i="1" s="1"/>
  <c r="V144" i="1"/>
  <c r="X144" i="1" s="1"/>
  <c r="BJ143" i="1"/>
  <c r="BI143" i="1"/>
  <c r="BH143" i="1"/>
  <c r="BE143" i="1"/>
  <c r="BM143" i="1" s="1"/>
  <c r="AJ143" i="1"/>
  <c r="AI143" i="1"/>
  <c r="AG143" i="1"/>
  <c r="AX143" i="1" s="1"/>
  <c r="AA143" i="1"/>
  <c r="AC143" i="1" s="1"/>
  <c r="V143" i="1"/>
  <c r="X143" i="1" s="1"/>
  <c r="BJ142" i="1"/>
  <c r="BI142" i="1"/>
  <c r="BH142" i="1"/>
  <c r="BE142" i="1"/>
  <c r="AJ142" i="1"/>
  <c r="AI142" i="1"/>
  <c r="AG142" i="1"/>
  <c r="AX142" i="1" s="1"/>
  <c r="AA142" i="1"/>
  <c r="AB142" i="1" s="1"/>
  <c r="V142" i="1"/>
  <c r="X142" i="1" s="1"/>
  <c r="BJ141" i="1"/>
  <c r="BI141" i="1"/>
  <c r="BH141" i="1"/>
  <c r="BE141" i="1"/>
  <c r="BM141" i="1" s="1"/>
  <c r="AJ141" i="1"/>
  <c r="AI141" i="1"/>
  <c r="AG141" i="1"/>
  <c r="AY141" i="1" s="1"/>
  <c r="AA141" i="1"/>
  <c r="AC141" i="1" s="1"/>
  <c r="V141" i="1"/>
  <c r="X141" i="1" s="1"/>
  <c r="BJ140" i="1"/>
  <c r="BI140" i="1"/>
  <c r="BH140" i="1"/>
  <c r="BE140" i="1"/>
  <c r="BM140" i="1" s="1"/>
  <c r="AJ140" i="1"/>
  <c r="AI140" i="1"/>
  <c r="AG140" i="1"/>
  <c r="AY140" i="1" s="1"/>
  <c r="AA140" i="1"/>
  <c r="AB140" i="1" s="1"/>
  <c r="V140" i="1"/>
  <c r="X140" i="1" s="1"/>
  <c r="BJ139" i="1"/>
  <c r="BI139" i="1"/>
  <c r="BH139" i="1"/>
  <c r="BE139" i="1"/>
  <c r="BM139" i="1" s="1"/>
  <c r="AJ139" i="1"/>
  <c r="AI139" i="1"/>
  <c r="AG139" i="1"/>
  <c r="AX139" i="1" s="1"/>
  <c r="AA139" i="1"/>
  <c r="V139" i="1"/>
  <c r="X139" i="1" s="1"/>
  <c r="BJ138" i="1"/>
  <c r="BI138" i="1"/>
  <c r="BH138" i="1"/>
  <c r="BE138" i="1"/>
  <c r="BM138" i="1" s="1"/>
  <c r="AJ138" i="1"/>
  <c r="AO138" i="1" s="1"/>
  <c r="AI138" i="1"/>
  <c r="AG138" i="1"/>
  <c r="AY138" i="1" s="1"/>
  <c r="AA138" i="1"/>
  <c r="AC138" i="1" s="1"/>
  <c r="V138" i="1"/>
  <c r="X138" i="1" s="1"/>
  <c r="BJ137" i="1"/>
  <c r="BI137" i="1"/>
  <c r="BH137" i="1"/>
  <c r="BE137" i="1"/>
  <c r="AJ137" i="1"/>
  <c r="AI137" i="1"/>
  <c r="AG137" i="1"/>
  <c r="AY137" i="1" s="1"/>
  <c r="AA137" i="1"/>
  <c r="AB137" i="1" s="1"/>
  <c r="V137" i="1"/>
  <c r="X137" i="1" s="1"/>
  <c r="BJ136" i="1"/>
  <c r="BI136" i="1"/>
  <c r="BH136" i="1"/>
  <c r="BE136" i="1"/>
  <c r="AJ136" i="1"/>
  <c r="AI136" i="1"/>
  <c r="AG136" i="1"/>
  <c r="AY136" i="1" s="1"/>
  <c r="AA136" i="1"/>
  <c r="AC136" i="1" s="1"/>
  <c r="V136" i="1"/>
  <c r="X136" i="1" s="1"/>
  <c r="BJ135" i="1"/>
  <c r="BI135" i="1"/>
  <c r="BH135" i="1"/>
  <c r="BE135" i="1"/>
  <c r="BM135" i="1" s="1"/>
  <c r="AJ135" i="1"/>
  <c r="AO135" i="1" s="1"/>
  <c r="AI135" i="1"/>
  <c r="AG135" i="1"/>
  <c r="AY135" i="1" s="1"/>
  <c r="AA135" i="1"/>
  <c r="AC135" i="1" s="1"/>
  <c r="V135" i="1"/>
  <c r="X135" i="1" s="1"/>
  <c r="BJ134" i="1"/>
  <c r="BI134" i="1"/>
  <c r="BH134" i="1"/>
  <c r="BE134" i="1"/>
  <c r="BM134" i="1" s="1"/>
  <c r="AJ134" i="1"/>
  <c r="AI134" i="1"/>
  <c r="AG134" i="1"/>
  <c r="AY134" i="1" s="1"/>
  <c r="AA134" i="1"/>
  <c r="AB134" i="1" s="1"/>
  <c r="V134" i="1"/>
  <c r="X134" i="1" s="1"/>
  <c r="BJ133" i="1"/>
  <c r="BI133" i="1"/>
  <c r="BH133" i="1"/>
  <c r="BE133" i="1"/>
  <c r="BM133" i="1" s="1"/>
  <c r="AJ133" i="1"/>
  <c r="AI133" i="1"/>
  <c r="AG133" i="1"/>
  <c r="AX133" i="1" s="1"/>
  <c r="AA133" i="1"/>
  <c r="AC133" i="1" s="1"/>
  <c r="V133" i="1"/>
  <c r="X133" i="1" s="1"/>
  <c r="BJ132" i="1"/>
  <c r="BI132" i="1"/>
  <c r="BH132" i="1"/>
  <c r="BE132" i="1"/>
  <c r="AJ132" i="1"/>
  <c r="AI132" i="1"/>
  <c r="AG132" i="1"/>
  <c r="AX132" i="1" s="1"/>
  <c r="AA132" i="1"/>
  <c r="AB132" i="1" s="1"/>
  <c r="V132" i="1"/>
  <c r="X132" i="1" s="1"/>
  <c r="BJ131" i="1"/>
  <c r="BI131" i="1"/>
  <c r="BH131" i="1"/>
  <c r="BE131" i="1"/>
  <c r="BM131" i="1" s="1"/>
  <c r="AJ131" i="1"/>
  <c r="AI131" i="1"/>
  <c r="AG131" i="1"/>
  <c r="AX131" i="1" s="1"/>
  <c r="AA131" i="1"/>
  <c r="AC131" i="1" s="1"/>
  <c r="V131" i="1"/>
  <c r="X131" i="1" s="1"/>
  <c r="BJ130" i="1"/>
  <c r="BI130" i="1"/>
  <c r="BH130" i="1"/>
  <c r="BE130" i="1"/>
  <c r="BM130" i="1" s="1"/>
  <c r="AJ130" i="1"/>
  <c r="AI130" i="1"/>
  <c r="AG130" i="1"/>
  <c r="AY130" i="1" s="1"/>
  <c r="AA130" i="1"/>
  <c r="AC130" i="1" s="1"/>
  <c r="V130" i="1"/>
  <c r="X130" i="1" s="1"/>
  <c r="BJ129" i="1"/>
  <c r="BI129" i="1"/>
  <c r="BH129" i="1"/>
  <c r="BE129" i="1"/>
  <c r="BM129" i="1" s="1"/>
  <c r="AJ129" i="1"/>
  <c r="AI129" i="1"/>
  <c r="AG129" i="1"/>
  <c r="AY129" i="1" s="1"/>
  <c r="AA129" i="1"/>
  <c r="AB129" i="1" s="1"/>
  <c r="V129" i="1"/>
  <c r="X129" i="1" s="1"/>
  <c r="BJ128" i="1"/>
  <c r="BI128" i="1"/>
  <c r="BH128" i="1"/>
  <c r="BE128" i="1"/>
  <c r="BM128" i="1" s="1"/>
  <c r="AJ128" i="1"/>
  <c r="AI128" i="1"/>
  <c r="AG128" i="1"/>
  <c r="AY128" i="1" s="1"/>
  <c r="AA128" i="1"/>
  <c r="AC128" i="1" s="1"/>
  <c r="V128" i="1"/>
  <c r="X128" i="1" s="1"/>
  <c r="BJ127" i="1"/>
  <c r="BI127" i="1"/>
  <c r="BH127" i="1"/>
  <c r="BE127" i="1"/>
  <c r="BM127" i="1" s="1"/>
  <c r="AJ127" i="1"/>
  <c r="AI127" i="1"/>
  <c r="AG127" i="1"/>
  <c r="AY127" i="1" s="1"/>
  <c r="AA127" i="1"/>
  <c r="AB127" i="1" s="1"/>
  <c r="V127" i="1"/>
  <c r="X127" i="1" s="1"/>
  <c r="BJ126" i="1"/>
  <c r="BI126" i="1"/>
  <c r="BH126" i="1"/>
  <c r="BE126" i="1"/>
  <c r="BM126" i="1" s="1"/>
  <c r="AJ126" i="1"/>
  <c r="AI126" i="1"/>
  <c r="AG126" i="1"/>
  <c r="AX126" i="1" s="1"/>
  <c r="AA126" i="1"/>
  <c r="AC126" i="1" s="1"/>
  <c r="V126" i="1"/>
  <c r="X126" i="1" s="1"/>
  <c r="BJ125" i="1"/>
  <c r="BI125" i="1"/>
  <c r="BH125" i="1"/>
  <c r="BE125" i="1"/>
  <c r="BM125" i="1" s="1"/>
  <c r="AJ125" i="1"/>
  <c r="AI125" i="1"/>
  <c r="AG125" i="1"/>
  <c r="AY125" i="1" s="1"/>
  <c r="AA125" i="1"/>
  <c r="AB125" i="1" s="1"/>
  <c r="V125" i="1"/>
  <c r="X125" i="1" s="1"/>
  <c r="BJ124" i="1"/>
  <c r="BI124" i="1"/>
  <c r="BH124" i="1"/>
  <c r="BE124" i="1"/>
  <c r="BM124" i="1" s="1"/>
  <c r="AJ124" i="1"/>
  <c r="AI124" i="1"/>
  <c r="AG124" i="1"/>
  <c r="AY124" i="1" s="1"/>
  <c r="AA124" i="1"/>
  <c r="V124" i="1"/>
  <c r="X124" i="1" s="1"/>
  <c r="BJ123" i="1"/>
  <c r="BI123" i="1"/>
  <c r="BH123" i="1"/>
  <c r="BE123" i="1"/>
  <c r="BM123" i="1" s="1"/>
  <c r="AJ123" i="1"/>
  <c r="AO123" i="1" s="1"/>
  <c r="AI123" i="1"/>
  <c r="AG123" i="1"/>
  <c r="AY123" i="1" s="1"/>
  <c r="AA123" i="1"/>
  <c r="AB123" i="1" s="1"/>
  <c r="V123" i="1"/>
  <c r="X123" i="1" s="1"/>
  <c r="BJ122" i="1"/>
  <c r="BI122" i="1"/>
  <c r="BH122" i="1"/>
  <c r="BE122" i="1"/>
  <c r="AJ122" i="1"/>
  <c r="AI122" i="1"/>
  <c r="AG122" i="1"/>
  <c r="AY122" i="1" s="1"/>
  <c r="AA122" i="1"/>
  <c r="AB122" i="1" s="1"/>
  <c r="V122" i="1"/>
  <c r="X122" i="1" s="1"/>
  <c r="BJ121" i="1"/>
  <c r="BI121" i="1"/>
  <c r="BH121" i="1"/>
  <c r="BE121" i="1"/>
  <c r="AJ121" i="1"/>
  <c r="AI121" i="1"/>
  <c r="AG121" i="1"/>
  <c r="AX121" i="1" s="1"/>
  <c r="AA121" i="1"/>
  <c r="AC121" i="1" s="1"/>
  <c r="V121" i="1"/>
  <c r="X121" i="1" s="1"/>
  <c r="BJ120" i="1"/>
  <c r="BI120" i="1"/>
  <c r="BH120" i="1"/>
  <c r="BE120" i="1"/>
  <c r="BM120" i="1" s="1"/>
  <c r="AJ120" i="1"/>
  <c r="AI120" i="1"/>
  <c r="AG120" i="1"/>
  <c r="AY120" i="1" s="1"/>
  <c r="AA120" i="1"/>
  <c r="AB120" i="1" s="1"/>
  <c r="V120" i="1"/>
  <c r="X120" i="1" s="1"/>
  <c r="BJ119" i="1"/>
  <c r="BI119" i="1"/>
  <c r="BH119" i="1"/>
  <c r="BE119" i="1"/>
  <c r="BM119" i="1" s="1"/>
  <c r="AJ119" i="1"/>
  <c r="AO119" i="1" s="1"/>
  <c r="AI119" i="1"/>
  <c r="AG119" i="1"/>
  <c r="AY119" i="1" s="1"/>
  <c r="AA119" i="1"/>
  <c r="AB119" i="1" s="1"/>
  <c r="V119" i="1"/>
  <c r="X119" i="1" s="1"/>
  <c r="BJ118" i="1"/>
  <c r="BI118" i="1"/>
  <c r="BH118" i="1"/>
  <c r="BE118" i="1"/>
  <c r="AJ118" i="1"/>
  <c r="AI118" i="1"/>
  <c r="AG118" i="1"/>
  <c r="AX118" i="1" s="1"/>
  <c r="AA118" i="1"/>
  <c r="AC118" i="1" s="1"/>
  <c r="V118" i="1"/>
  <c r="X118" i="1" s="1"/>
  <c r="BJ117" i="1"/>
  <c r="BI117" i="1"/>
  <c r="BH117" i="1"/>
  <c r="BE117" i="1"/>
  <c r="AJ117" i="1"/>
  <c r="AI117" i="1"/>
  <c r="AG117" i="1"/>
  <c r="AY117" i="1" s="1"/>
  <c r="AA117" i="1"/>
  <c r="AB117" i="1" s="1"/>
  <c r="V117" i="1"/>
  <c r="X117" i="1" s="1"/>
  <c r="AJ116" i="1"/>
  <c r="AI116" i="1"/>
  <c r="AG116" i="1"/>
  <c r="AA116" i="1"/>
  <c r="AB116" i="1" s="1"/>
  <c r="BJ115" i="1"/>
  <c r="BI115" i="1"/>
  <c r="BH115" i="1"/>
  <c r="BE115" i="1"/>
  <c r="AJ115" i="1"/>
  <c r="AF115" i="1"/>
  <c r="AI115" i="1" s="1"/>
  <c r="AE115" i="1"/>
  <c r="AD115" i="1"/>
  <c r="AA115" i="1"/>
  <c r="V115" i="1"/>
  <c r="X115" i="1" s="1"/>
  <c r="BJ114" i="1"/>
  <c r="BI114" i="1"/>
  <c r="BH114" i="1"/>
  <c r="BE114" i="1"/>
  <c r="AJ114" i="1"/>
  <c r="AO114" i="1" s="1"/>
  <c r="AI114" i="1"/>
  <c r="AG114" i="1"/>
  <c r="AX114" i="1" s="1"/>
  <c r="AA114" i="1"/>
  <c r="AC114" i="1" s="1"/>
  <c r="V114" i="1"/>
  <c r="X114" i="1" s="1"/>
  <c r="BJ113" i="1"/>
  <c r="BI113" i="1"/>
  <c r="BH113" i="1"/>
  <c r="BE113" i="1"/>
  <c r="BM113" i="1" s="1"/>
  <c r="AJ113" i="1"/>
  <c r="AI113" i="1"/>
  <c r="AG113" i="1"/>
  <c r="AX113" i="1" s="1"/>
  <c r="AA113" i="1"/>
  <c r="AB113" i="1" s="1"/>
  <c r="V113" i="1"/>
  <c r="X113" i="1" s="1"/>
  <c r="BJ112" i="1"/>
  <c r="BI112" i="1"/>
  <c r="BH112" i="1"/>
  <c r="BE112" i="1"/>
  <c r="AJ112" i="1"/>
  <c r="AI112" i="1"/>
  <c r="AG112" i="1"/>
  <c r="AY112" i="1" s="1"/>
  <c r="AA112" i="1"/>
  <c r="AC112" i="1" s="1"/>
  <c r="V112" i="1"/>
  <c r="X112" i="1" s="1"/>
  <c r="BJ111" i="1"/>
  <c r="BI111" i="1"/>
  <c r="BH111" i="1"/>
  <c r="BE111" i="1"/>
  <c r="BM111" i="1" s="1"/>
  <c r="AJ111" i="1"/>
  <c r="AI111" i="1"/>
  <c r="AG111" i="1"/>
  <c r="AA111" i="1"/>
  <c r="AC111" i="1" s="1"/>
  <c r="V111" i="1"/>
  <c r="X111" i="1" s="1"/>
  <c r="BJ110" i="1"/>
  <c r="BI110" i="1"/>
  <c r="BH110" i="1"/>
  <c r="BE110" i="1"/>
  <c r="AJ110" i="1"/>
  <c r="AO110" i="1" s="1"/>
  <c r="AI110" i="1"/>
  <c r="AG110" i="1"/>
  <c r="AY110" i="1" s="1"/>
  <c r="AA110" i="1"/>
  <c r="AC110" i="1" s="1"/>
  <c r="V110" i="1"/>
  <c r="X110" i="1" s="1"/>
  <c r="BJ109" i="1"/>
  <c r="BI109" i="1"/>
  <c r="BH109" i="1"/>
  <c r="BE109" i="1"/>
  <c r="AJ109" i="1"/>
  <c r="AI109" i="1"/>
  <c r="AG109" i="1"/>
  <c r="AY109" i="1" s="1"/>
  <c r="AA109" i="1"/>
  <c r="V109" i="1"/>
  <c r="X109" i="1" s="1"/>
  <c r="BJ108" i="1"/>
  <c r="BI108" i="1"/>
  <c r="BH108" i="1"/>
  <c r="BE108" i="1"/>
  <c r="BM108" i="1" s="1"/>
  <c r="AJ108" i="1"/>
  <c r="AI108" i="1"/>
  <c r="AG108" i="1"/>
  <c r="AA108" i="1"/>
  <c r="AB108" i="1" s="1"/>
  <c r="V108" i="1"/>
  <c r="X108" i="1" s="1"/>
  <c r="BJ107" i="1"/>
  <c r="BI107" i="1"/>
  <c r="BH107" i="1"/>
  <c r="BE107" i="1"/>
  <c r="BM107" i="1" s="1"/>
  <c r="AJ107" i="1"/>
  <c r="AI107" i="1"/>
  <c r="AG107" i="1"/>
  <c r="AY107" i="1" s="1"/>
  <c r="AA107" i="1"/>
  <c r="V107" i="1"/>
  <c r="X107" i="1" s="1"/>
  <c r="BJ106" i="1"/>
  <c r="BI106" i="1"/>
  <c r="BH106" i="1"/>
  <c r="BE106" i="1"/>
  <c r="BM106" i="1" s="1"/>
  <c r="AJ106" i="1"/>
  <c r="AI106" i="1"/>
  <c r="AG106" i="1"/>
  <c r="AA106" i="1"/>
  <c r="V106" i="1"/>
  <c r="X106" i="1" s="1"/>
  <c r="BJ105" i="1"/>
  <c r="BI105" i="1"/>
  <c r="BH105" i="1"/>
  <c r="BE105" i="1"/>
  <c r="BM105" i="1" s="1"/>
  <c r="AJ105" i="1"/>
  <c r="AI105" i="1"/>
  <c r="AG105" i="1"/>
  <c r="AA105" i="1"/>
  <c r="V105" i="1"/>
  <c r="X105" i="1" s="1"/>
  <c r="BJ104" i="1"/>
  <c r="BI104" i="1"/>
  <c r="BH104" i="1"/>
  <c r="BE104" i="1"/>
  <c r="BM104" i="1" s="1"/>
  <c r="AJ104" i="1"/>
  <c r="AI104" i="1"/>
  <c r="AG104" i="1"/>
  <c r="AY104" i="1" s="1"/>
  <c r="AA104" i="1"/>
  <c r="AC104" i="1" s="1"/>
  <c r="V104" i="1"/>
  <c r="X104" i="1" s="1"/>
  <c r="BJ103" i="1"/>
  <c r="BI103" i="1"/>
  <c r="BH103" i="1"/>
  <c r="BE103" i="1"/>
  <c r="BM103" i="1" s="1"/>
  <c r="AJ103" i="1"/>
  <c r="AI103" i="1"/>
  <c r="AG103" i="1"/>
  <c r="AY103" i="1" s="1"/>
  <c r="AA103" i="1"/>
  <c r="AC103" i="1" s="1"/>
  <c r="V103" i="1"/>
  <c r="X103" i="1" s="1"/>
  <c r="BJ102" i="1"/>
  <c r="BI102" i="1"/>
  <c r="BH102" i="1"/>
  <c r="BE102" i="1"/>
  <c r="AJ102" i="1"/>
  <c r="AI102" i="1"/>
  <c r="AG102" i="1"/>
  <c r="AY102" i="1" s="1"/>
  <c r="AA102" i="1"/>
  <c r="AC102" i="1" s="1"/>
  <c r="V102" i="1"/>
  <c r="X102" i="1" s="1"/>
  <c r="BJ101" i="1"/>
  <c r="BI101" i="1"/>
  <c r="BH101" i="1"/>
  <c r="BE101" i="1"/>
  <c r="BM101" i="1" s="1"/>
  <c r="AJ101" i="1"/>
  <c r="AI101" i="1"/>
  <c r="AG101" i="1"/>
  <c r="AY101" i="1" s="1"/>
  <c r="AA101" i="1"/>
  <c r="AB101" i="1" s="1"/>
  <c r="V101" i="1"/>
  <c r="X101" i="1" s="1"/>
  <c r="BJ100" i="1"/>
  <c r="BI100" i="1"/>
  <c r="BH100" i="1"/>
  <c r="BE100" i="1"/>
  <c r="AJ100" i="1"/>
  <c r="AO100" i="1" s="1"/>
  <c r="AI100" i="1"/>
  <c r="AG100" i="1"/>
  <c r="AX100" i="1" s="1"/>
  <c r="AA100" i="1"/>
  <c r="V100" i="1"/>
  <c r="X100" i="1" s="1"/>
  <c r="BJ99" i="1"/>
  <c r="BI99" i="1"/>
  <c r="BH99" i="1"/>
  <c r="BE99" i="1"/>
  <c r="BM99" i="1" s="1"/>
  <c r="AJ99" i="1"/>
  <c r="AI99" i="1"/>
  <c r="AG99" i="1"/>
  <c r="AY99" i="1" s="1"/>
  <c r="AA99" i="1"/>
  <c r="AC99" i="1" s="1"/>
  <c r="V99" i="1"/>
  <c r="X99" i="1" s="1"/>
  <c r="BJ98" i="1"/>
  <c r="BI98" i="1"/>
  <c r="BH98" i="1"/>
  <c r="BE98" i="1"/>
  <c r="BM98" i="1" s="1"/>
  <c r="AJ98" i="1"/>
  <c r="AI98" i="1"/>
  <c r="AG98" i="1"/>
  <c r="AY98" i="1" s="1"/>
  <c r="AA98" i="1"/>
  <c r="AB98" i="1" s="1"/>
  <c r="V98" i="1"/>
  <c r="X98" i="1" s="1"/>
  <c r="BJ97" i="1"/>
  <c r="BI97" i="1"/>
  <c r="BH97" i="1"/>
  <c r="BE97" i="1"/>
  <c r="BM97" i="1" s="1"/>
  <c r="AJ97" i="1"/>
  <c r="AI97" i="1"/>
  <c r="AG97" i="1"/>
  <c r="AY97" i="1" s="1"/>
  <c r="AA97" i="1"/>
  <c r="AC97" i="1" s="1"/>
  <c r="V97" i="1"/>
  <c r="X97" i="1" s="1"/>
  <c r="BJ96" i="1"/>
  <c r="BI96" i="1"/>
  <c r="BH96" i="1"/>
  <c r="BE96" i="1"/>
  <c r="BM96" i="1" s="1"/>
  <c r="AJ96" i="1"/>
  <c r="AI96" i="1"/>
  <c r="AG96" i="1"/>
  <c r="AX96" i="1" s="1"/>
  <c r="AA96" i="1"/>
  <c r="AB96" i="1" s="1"/>
  <c r="V96" i="1"/>
  <c r="X96" i="1" s="1"/>
  <c r="BJ95" i="1"/>
  <c r="BI95" i="1"/>
  <c r="BH95" i="1"/>
  <c r="BE95" i="1"/>
  <c r="AJ95" i="1"/>
  <c r="AI95" i="1"/>
  <c r="AG95" i="1"/>
  <c r="AX95" i="1" s="1"/>
  <c r="AA95" i="1"/>
  <c r="AC95" i="1" s="1"/>
  <c r="V95" i="1"/>
  <c r="X95" i="1" s="1"/>
  <c r="BJ94" i="1"/>
  <c r="BI94" i="1"/>
  <c r="BH94" i="1"/>
  <c r="BE94" i="1"/>
  <c r="AJ94" i="1"/>
  <c r="AI94" i="1"/>
  <c r="AG94" i="1"/>
  <c r="AX94" i="1" s="1"/>
  <c r="AA94" i="1"/>
  <c r="V94" i="1"/>
  <c r="X94" i="1" s="1"/>
  <c r="BJ93" i="1"/>
  <c r="BI93" i="1"/>
  <c r="BH93" i="1"/>
  <c r="BE93" i="1"/>
  <c r="AJ93" i="1"/>
  <c r="AI93" i="1"/>
  <c r="AG93" i="1"/>
  <c r="AY93" i="1" s="1"/>
  <c r="AA93" i="1"/>
  <c r="AB93" i="1" s="1"/>
  <c r="V93" i="1"/>
  <c r="X93" i="1" s="1"/>
  <c r="BJ92" i="1"/>
  <c r="BI92" i="1"/>
  <c r="BH92" i="1"/>
  <c r="BE92" i="1"/>
  <c r="BM92" i="1" s="1"/>
  <c r="AJ92" i="1"/>
  <c r="AI92" i="1"/>
  <c r="AG92" i="1"/>
  <c r="AY92" i="1" s="1"/>
  <c r="AA92" i="1"/>
  <c r="AC92" i="1" s="1"/>
  <c r="V92" i="1"/>
  <c r="X92" i="1" s="1"/>
  <c r="BJ91" i="1"/>
  <c r="BI91" i="1"/>
  <c r="BH91" i="1"/>
  <c r="BE91" i="1"/>
  <c r="BM91" i="1" s="1"/>
  <c r="AJ91" i="1"/>
  <c r="AI91" i="1"/>
  <c r="AG91" i="1"/>
  <c r="AX91" i="1" s="1"/>
  <c r="AA91" i="1"/>
  <c r="AB91" i="1" s="1"/>
  <c r="V91" i="1"/>
  <c r="X91" i="1" s="1"/>
  <c r="BJ90" i="1"/>
  <c r="BI90" i="1"/>
  <c r="BH90" i="1"/>
  <c r="BE90" i="1"/>
  <c r="BM90" i="1" s="1"/>
  <c r="AJ90" i="1"/>
  <c r="AI90" i="1"/>
  <c r="AG90" i="1"/>
  <c r="AX90" i="1" s="1"/>
  <c r="AA90" i="1"/>
  <c r="AC90" i="1" s="1"/>
  <c r="V90" i="1"/>
  <c r="X90" i="1" s="1"/>
  <c r="BJ89" i="1"/>
  <c r="BI89" i="1"/>
  <c r="BH89" i="1"/>
  <c r="BE89" i="1"/>
  <c r="AJ89" i="1"/>
  <c r="AI89" i="1"/>
  <c r="AG89" i="1"/>
  <c r="AX89" i="1" s="1"/>
  <c r="AA89" i="1"/>
  <c r="AB89" i="1" s="1"/>
  <c r="V89" i="1"/>
  <c r="X89" i="1" s="1"/>
  <c r="AJ88" i="1"/>
  <c r="AI88" i="1"/>
  <c r="AG88" i="1"/>
  <c r="AA88" i="1"/>
  <c r="AB88" i="1" s="1"/>
  <c r="V88" i="1"/>
  <c r="X88" i="1" s="1"/>
  <c r="BJ87" i="1"/>
  <c r="BI87" i="1"/>
  <c r="BH87" i="1"/>
  <c r="BE87" i="1"/>
  <c r="BM87" i="1" s="1"/>
  <c r="AJ87" i="1"/>
  <c r="AF87" i="1"/>
  <c r="AI87" i="1" s="1"/>
  <c r="AE87" i="1"/>
  <c r="AD87" i="1"/>
  <c r="AA87" i="1"/>
  <c r="V87" i="1"/>
  <c r="X87" i="1" s="1"/>
  <c r="BJ86" i="1"/>
  <c r="BI86" i="1"/>
  <c r="BH86" i="1"/>
  <c r="BE86" i="1"/>
  <c r="AJ86" i="1"/>
  <c r="AI86" i="1"/>
  <c r="AG86" i="1"/>
  <c r="AY86" i="1" s="1"/>
  <c r="AA86" i="1"/>
  <c r="AC86" i="1" s="1"/>
  <c r="V86" i="1"/>
  <c r="X86" i="1" s="1"/>
  <c r="AJ85" i="1"/>
  <c r="AI85" i="1"/>
  <c r="AG85" i="1"/>
  <c r="AY85" i="1" s="1"/>
  <c r="AA85" i="1"/>
  <c r="AC85" i="1" s="1"/>
  <c r="V85" i="1"/>
  <c r="X85" i="1" s="1"/>
  <c r="BJ84" i="1"/>
  <c r="BI84" i="1"/>
  <c r="BH84" i="1"/>
  <c r="BE84" i="1"/>
  <c r="BM84" i="1" s="1"/>
  <c r="AJ84" i="1"/>
  <c r="AI84" i="1"/>
  <c r="AG84" i="1"/>
  <c r="AX84" i="1" s="1"/>
  <c r="AA84" i="1"/>
  <c r="AB84" i="1" s="1"/>
  <c r="V84" i="1"/>
  <c r="X84" i="1" s="1"/>
  <c r="AJ83" i="1"/>
  <c r="AI83" i="1"/>
  <c r="AG83" i="1"/>
  <c r="AA83" i="1"/>
  <c r="AC83" i="1" s="1"/>
  <c r="BJ82" i="1"/>
  <c r="BI82" i="1"/>
  <c r="BH82" i="1"/>
  <c r="BE82" i="1"/>
  <c r="AV82" i="1"/>
  <c r="AJ82" i="1"/>
  <c r="AF82" i="1"/>
  <c r="AI82" i="1" s="1"/>
  <c r="AE82" i="1"/>
  <c r="AD82" i="1"/>
  <c r="AA82" i="1"/>
  <c r="V82" i="1"/>
  <c r="X82" i="1" s="1"/>
  <c r="BJ81" i="1"/>
  <c r="BI81" i="1"/>
  <c r="BH81" i="1"/>
  <c r="BE81" i="1"/>
  <c r="AV81" i="1"/>
  <c r="AJ81" i="1"/>
  <c r="AO81" i="1" s="1"/>
  <c r="AI81" i="1"/>
  <c r="AG81" i="1"/>
  <c r="AY81" i="1" s="1"/>
  <c r="AA81" i="1"/>
  <c r="V81" i="1"/>
  <c r="X81" i="1" s="1"/>
  <c r="BJ80" i="1"/>
  <c r="BI80" i="1"/>
  <c r="BH80" i="1"/>
  <c r="BE80" i="1"/>
  <c r="BM80" i="1" s="1"/>
  <c r="AJ80" i="1"/>
  <c r="AI80" i="1"/>
  <c r="AG80" i="1"/>
  <c r="AX80" i="1" s="1"/>
  <c r="AA80" i="1"/>
  <c r="AB80" i="1" s="1"/>
  <c r="V80" i="1"/>
  <c r="X80" i="1" s="1"/>
  <c r="BJ79" i="1"/>
  <c r="BI79" i="1"/>
  <c r="BH79" i="1"/>
  <c r="BE79" i="1"/>
  <c r="BM79" i="1" s="1"/>
  <c r="AV79" i="1"/>
  <c r="AJ79" i="1"/>
  <c r="AI79" i="1"/>
  <c r="AG79" i="1"/>
  <c r="AY79" i="1" s="1"/>
  <c r="AA79" i="1"/>
  <c r="V79" i="1"/>
  <c r="X79" i="1" s="1"/>
  <c r="BJ78" i="1"/>
  <c r="BI78" i="1"/>
  <c r="BH78" i="1"/>
  <c r="BE78" i="1"/>
  <c r="AJ78" i="1"/>
  <c r="AI78" i="1"/>
  <c r="AG78" i="1"/>
  <c r="AY78" i="1" s="1"/>
  <c r="AA78" i="1"/>
  <c r="AB78" i="1" s="1"/>
  <c r="V78" i="1"/>
  <c r="X78" i="1" s="1"/>
  <c r="BJ77" i="1"/>
  <c r="BI77" i="1"/>
  <c r="BH77" i="1"/>
  <c r="BE77" i="1"/>
  <c r="BM77" i="1" s="1"/>
  <c r="AV77" i="1"/>
  <c r="AJ77" i="1"/>
  <c r="AI77" i="1"/>
  <c r="AG77" i="1"/>
  <c r="AY77" i="1" s="1"/>
  <c r="AA77" i="1"/>
  <c r="AC77" i="1" s="1"/>
  <c r="V77" i="1"/>
  <c r="X77" i="1" s="1"/>
  <c r="BJ76" i="1"/>
  <c r="BI76" i="1"/>
  <c r="BH76" i="1"/>
  <c r="BE76" i="1"/>
  <c r="BM76" i="1" s="1"/>
  <c r="AV76" i="1"/>
  <c r="AJ76" i="1"/>
  <c r="AI76" i="1"/>
  <c r="AG76" i="1"/>
  <c r="AY76" i="1" s="1"/>
  <c r="AA76" i="1"/>
  <c r="AC76" i="1" s="1"/>
  <c r="V76" i="1"/>
  <c r="X76" i="1" s="1"/>
  <c r="BJ75" i="1"/>
  <c r="BI75" i="1"/>
  <c r="BH75" i="1"/>
  <c r="BE75" i="1"/>
  <c r="BM75" i="1" s="1"/>
  <c r="AJ75" i="1"/>
  <c r="AI75" i="1"/>
  <c r="AG75" i="1"/>
  <c r="AX75" i="1" s="1"/>
  <c r="AA75" i="1"/>
  <c r="AC75" i="1" s="1"/>
  <c r="V75" i="1"/>
  <c r="X75" i="1" s="1"/>
  <c r="BJ74" i="1"/>
  <c r="BI74" i="1"/>
  <c r="BH74" i="1"/>
  <c r="BE74" i="1"/>
  <c r="BM74" i="1" s="1"/>
  <c r="AJ74" i="1"/>
  <c r="AI74" i="1"/>
  <c r="AG74" i="1"/>
  <c r="AY74" i="1" s="1"/>
  <c r="AA74" i="1"/>
  <c r="V74" i="1"/>
  <c r="X74" i="1" s="1"/>
  <c r="BJ73" i="1"/>
  <c r="BI73" i="1"/>
  <c r="BH73" i="1"/>
  <c r="BE73" i="1"/>
  <c r="BM73" i="1" s="1"/>
  <c r="AJ73" i="1"/>
  <c r="AI73" i="1"/>
  <c r="AG73" i="1"/>
  <c r="AY73" i="1" s="1"/>
  <c r="AA73" i="1"/>
  <c r="AC73" i="1" s="1"/>
  <c r="V73" i="1"/>
  <c r="X73" i="1" s="1"/>
  <c r="BJ72" i="1"/>
  <c r="BI72" i="1"/>
  <c r="BH72" i="1"/>
  <c r="BE72" i="1"/>
  <c r="BM72" i="1" s="1"/>
  <c r="AJ72" i="1"/>
  <c r="AI72" i="1"/>
  <c r="AG72" i="1"/>
  <c r="AY72" i="1" s="1"/>
  <c r="AA72" i="1"/>
  <c r="AC72" i="1" s="1"/>
  <c r="V72" i="1"/>
  <c r="X72" i="1" s="1"/>
  <c r="BJ71" i="1"/>
  <c r="BI71" i="1"/>
  <c r="BH71" i="1"/>
  <c r="BE71" i="1"/>
  <c r="AJ71" i="1"/>
  <c r="AI71" i="1"/>
  <c r="AG71" i="1"/>
  <c r="AY71" i="1" s="1"/>
  <c r="AA71" i="1"/>
  <c r="AC71" i="1" s="1"/>
  <c r="V71" i="1"/>
  <c r="X71" i="1" s="1"/>
  <c r="BJ70" i="1"/>
  <c r="BI70" i="1"/>
  <c r="BH70" i="1"/>
  <c r="BE70" i="1"/>
  <c r="BM70" i="1" s="1"/>
  <c r="AJ70" i="1"/>
  <c r="AI70" i="1"/>
  <c r="AG70" i="1"/>
  <c r="AA70" i="1"/>
  <c r="AB70" i="1" s="1"/>
  <c r="V70" i="1"/>
  <c r="X70" i="1" s="1"/>
  <c r="BJ69" i="1"/>
  <c r="BI69" i="1"/>
  <c r="BH69" i="1"/>
  <c r="BE69" i="1"/>
  <c r="AJ69" i="1"/>
  <c r="AI69" i="1"/>
  <c r="AG69" i="1"/>
  <c r="AX69" i="1" s="1"/>
  <c r="AA69" i="1"/>
  <c r="AB69" i="1" s="1"/>
  <c r="V69" i="1"/>
  <c r="X69" i="1" s="1"/>
  <c r="BJ68" i="1"/>
  <c r="BI68" i="1"/>
  <c r="BH68" i="1"/>
  <c r="BE68" i="1"/>
  <c r="AJ68" i="1"/>
  <c r="AI68" i="1"/>
  <c r="AG68" i="1"/>
  <c r="AA68" i="1"/>
  <c r="AB68" i="1" s="1"/>
  <c r="V68" i="1"/>
  <c r="X68" i="1" s="1"/>
  <c r="BJ67" i="1"/>
  <c r="BI67" i="1"/>
  <c r="BH67" i="1"/>
  <c r="BE67" i="1"/>
  <c r="BM67" i="1" s="1"/>
  <c r="AJ67" i="1"/>
  <c r="AI67" i="1"/>
  <c r="AG67" i="1"/>
  <c r="AX67" i="1" s="1"/>
  <c r="AA67" i="1"/>
  <c r="AC67" i="1" s="1"/>
  <c r="V67" i="1"/>
  <c r="X67" i="1" s="1"/>
  <c r="BJ66" i="1"/>
  <c r="BI66" i="1"/>
  <c r="BH66" i="1"/>
  <c r="BE66" i="1"/>
  <c r="BM66" i="1" s="1"/>
  <c r="AJ66" i="1"/>
  <c r="AI66" i="1"/>
  <c r="AG66" i="1"/>
  <c r="AY66" i="1" s="1"/>
  <c r="AA66" i="1"/>
  <c r="AB66" i="1" s="1"/>
  <c r="V66" i="1"/>
  <c r="X66" i="1" s="1"/>
  <c r="BJ65" i="1"/>
  <c r="BI65" i="1"/>
  <c r="BH65" i="1"/>
  <c r="BE65" i="1"/>
  <c r="BM65" i="1" s="1"/>
  <c r="AJ65" i="1"/>
  <c r="AO65" i="1" s="1"/>
  <c r="AI65" i="1"/>
  <c r="AG65" i="1"/>
  <c r="AY65" i="1" s="1"/>
  <c r="AA65" i="1"/>
  <c r="AB65" i="1" s="1"/>
  <c r="V65" i="1"/>
  <c r="X65" i="1" s="1"/>
  <c r="BJ64" i="1"/>
  <c r="BI64" i="1"/>
  <c r="BH64" i="1"/>
  <c r="BE64" i="1"/>
  <c r="BM64" i="1" s="1"/>
  <c r="AJ64" i="1"/>
  <c r="AI64" i="1"/>
  <c r="AG64" i="1"/>
  <c r="AX64" i="1" s="1"/>
  <c r="AA64" i="1"/>
  <c r="AC64" i="1" s="1"/>
  <c r="V64" i="1"/>
  <c r="X64" i="1" s="1"/>
  <c r="BJ63" i="1"/>
  <c r="BI63" i="1"/>
  <c r="BH63" i="1"/>
  <c r="BE63" i="1"/>
  <c r="AJ63" i="1"/>
  <c r="AI63" i="1"/>
  <c r="AG63" i="1"/>
  <c r="AY63" i="1" s="1"/>
  <c r="AA63" i="1"/>
  <c r="AB63" i="1" s="1"/>
  <c r="V63" i="1"/>
  <c r="X63" i="1" s="1"/>
  <c r="BJ62" i="1"/>
  <c r="BI62" i="1"/>
  <c r="BH62" i="1"/>
  <c r="BE62" i="1"/>
  <c r="AV62" i="1"/>
  <c r="AJ62" i="1"/>
  <c r="AI62" i="1"/>
  <c r="AG62" i="1"/>
  <c r="AY62" i="1" s="1"/>
  <c r="AA62" i="1"/>
  <c r="AC62" i="1" s="1"/>
  <c r="V62" i="1"/>
  <c r="X62" i="1" s="1"/>
  <c r="BJ61" i="1"/>
  <c r="BI61" i="1"/>
  <c r="BH61" i="1"/>
  <c r="BE61" i="1"/>
  <c r="BM61" i="1" s="1"/>
  <c r="AJ61" i="1"/>
  <c r="AI61" i="1"/>
  <c r="AG61" i="1"/>
  <c r="AY61" i="1" s="1"/>
  <c r="AA61" i="1"/>
  <c r="AC61" i="1" s="1"/>
  <c r="V61" i="1"/>
  <c r="X61" i="1" s="1"/>
  <c r="BJ60" i="1"/>
  <c r="BI60" i="1"/>
  <c r="BH60" i="1"/>
  <c r="BE60" i="1"/>
  <c r="BM60" i="1" s="1"/>
  <c r="AV60" i="1"/>
  <c r="AJ60" i="1"/>
  <c r="AI60" i="1"/>
  <c r="AG60" i="1"/>
  <c r="AY60" i="1" s="1"/>
  <c r="AA60" i="1"/>
  <c r="AC60" i="1" s="1"/>
  <c r="V60" i="1"/>
  <c r="X60" i="1" s="1"/>
  <c r="BJ59" i="1"/>
  <c r="BI59" i="1"/>
  <c r="BH59" i="1"/>
  <c r="BE59" i="1"/>
  <c r="BM59" i="1" s="1"/>
  <c r="AJ59" i="1"/>
  <c r="AI59" i="1"/>
  <c r="AG59" i="1"/>
  <c r="AY59" i="1" s="1"/>
  <c r="AA59" i="1"/>
  <c r="AB59" i="1" s="1"/>
  <c r="V59" i="1"/>
  <c r="X59" i="1" s="1"/>
  <c r="BJ58" i="1"/>
  <c r="BI58" i="1"/>
  <c r="BH58" i="1"/>
  <c r="BE58" i="1"/>
  <c r="BM58" i="1" s="1"/>
  <c r="AJ58" i="1"/>
  <c r="AI58" i="1"/>
  <c r="AG58" i="1"/>
  <c r="AY58" i="1" s="1"/>
  <c r="AA58" i="1"/>
  <c r="AC58" i="1" s="1"/>
  <c r="V58" i="1"/>
  <c r="X58" i="1" s="1"/>
  <c r="BJ57" i="1"/>
  <c r="BI57" i="1"/>
  <c r="BH57" i="1"/>
  <c r="BE57" i="1"/>
  <c r="BM57" i="1" s="1"/>
  <c r="AV57" i="1"/>
  <c r="AJ57" i="1"/>
  <c r="AI57" i="1"/>
  <c r="AG57" i="1"/>
  <c r="AY57" i="1" s="1"/>
  <c r="AA57" i="1"/>
  <c r="AB57" i="1" s="1"/>
  <c r="V57" i="1"/>
  <c r="X57" i="1" s="1"/>
  <c r="BJ56" i="1"/>
  <c r="BI56" i="1"/>
  <c r="BH56" i="1"/>
  <c r="BE56" i="1"/>
  <c r="BM56" i="1" s="1"/>
  <c r="AJ56" i="1"/>
  <c r="AI56" i="1"/>
  <c r="AG56" i="1"/>
  <c r="AA56" i="1"/>
  <c r="V56" i="1"/>
  <c r="X56" i="1" s="1"/>
  <c r="BJ55" i="1"/>
  <c r="BI55" i="1"/>
  <c r="BH55" i="1"/>
  <c r="BE55" i="1"/>
  <c r="AJ55" i="1"/>
  <c r="AI55" i="1"/>
  <c r="AG55" i="1"/>
  <c r="AA55" i="1"/>
  <c r="V55" i="1"/>
  <c r="X55" i="1" s="1"/>
  <c r="BJ54" i="1"/>
  <c r="BI54" i="1"/>
  <c r="BH54" i="1"/>
  <c r="BE54" i="1"/>
  <c r="BM54" i="1" s="1"/>
  <c r="AJ54" i="1"/>
  <c r="AO54" i="1" s="1"/>
  <c r="AI54" i="1"/>
  <c r="AG54" i="1"/>
  <c r="AY54" i="1" s="1"/>
  <c r="AA54" i="1"/>
  <c r="AC54" i="1" s="1"/>
  <c r="V54" i="1"/>
  <c r="X54" i="1" s="1"/>
  <c r="BJ53" i="1"/>
  <c r="BI53" i="1"/>
  <c r="BH53" i="1"/>
  <c r="BE53" i="1"/>
  <c r="AJ53" i="1"/>
  <c r="AI53" i="1"/>
  <c r="AG53" i="1"/>
  <c r="AY53" i="1" s="1"/>
  <c r="AA53" i="1"/>
  <c r="AC53" i="1" s="1"/>
  <c r="V53" i="1"/>
  <c r="X53" i="1" s="1"/>
  <c r="BJ52" i="1"/>
  <c r="BI52" i="1"/>
  <c r="BH52" i="1"/>
  <c r="BE52" i="1"/>
  <c r="BM52" i="1" s="1"/>
  <c r="AJ52" i="1"/>
  <c r="AI52" i="1"/>
  <c r="AG52" i="1"/>
  <c r="AY52" i="1" s="1"/>
  <c r="AA52" i="1"/>
  <c r="AB52" i="1" s="1"/>
  <c r="V52" i="1"/>
  <c r="X52" i="1" s="1"/>
  <c r="BJ51" i="1"/>
  <c r="BI51" i="1"/>
  <c r="BH51" i="1"/>
  <c r="BE51" i="1"/>
  <c r="BM51" i="1" s="1"/>
  <c r="AJ51" i="1"/>
  <c r="AI51" i="1"/>
  <c r="AG51" i="1"/>
  <c r="AA51" i="1"/>
  <c r="AC51" i="1" s="1"/>
  <c r="V51" i="1"/>
  <c r="X51" i="1" s="1"/>
  <c r="AJ50" i="1"/>
  <c r="AI50" i="1"/>
  <c r="AD50" i="1"/>
  <c r="AG50" i="1" s="1"/>
  <c r="AA50" i="1"/>
  <c r="BJ49" i="1"/>
  <c r="BI49" i="1"/>
  <c r="BH49" i="1"/>
  <c r="BE49" i="1"/>
  <c r="BM49" i="1" s="1"/>
  <c r="AJ49" i="1"/>
  <c r="AF49" i="1"/>
  <c r="AE49" i="1"/>
  <c r="AD49" i="1"/>
  <c r="AA49" i="1"/>
  <c r="V49" i="1"/>
  <c r="X49" i="1" s="1"/>
  <c r="BJ48" i="1"/>
  <c r="BI48" i="1"/>
  <c r="BH48" i="1"/>
  <c r="BE48" i="1"/>
  <c r="BM48" i="1" s="1"/>
  <c r="AJ48" i="1"/>
  <c r="AI48" i="1"/>
  <c r="AG48" i="1"/>
  <c r="AY48" i="1" s="1"/>
  <c r="AA48" i="1"/>
  <c r="AC48" i="1" s="1"/>
  <c r="V48" i="1"/>
  <c r="X48" i="1" s="1"/>
  <c r="BJ47" i="1"/>
  <c r="BI47" i="1"/>
  <c r="BH47" i="1"/>
  <c r="BE47" i="1"/>
  <c r="BM47" i="1" s="1"/>
  <c r="AJ47" i="1"/>
  <c r="AI47" i="1"/>
  <c r="AG47" i="1"/>
  <c r="AY47" i="1" s="1"/>
  <c r="AA47" i="1"/>
  <c r="AB47" i="1" s="1"/>
  <c r="V47" i="1"/>
  <c r="X47" i="1" s="1"/>
  <c r="BJ46" i="1"/>
  <c r="BI46" i="1"/>
  <c r="BH46" i="1"/>
  <c r="BE46" i="1"/>
  <c r="BM46" i="1" s="1"/>
  <c r="AJ46" i="1"/>
  <c r="AI46" i="1"/>
  <c r="AP46" i="1" s="1"/>
  <c r="AG46" i="1"/>
  <c r="AY46" i="1" s="1"/>
  <c r="AA46" i="1"/>
  <c r="AB46" i="1" s="1"/>
  <c r="V46" i="1"/>
  <c r="X46" i="1" s="1"/>
  <c r="BJ45" i="1"/>
  <c r="BI45" i="1"/>
  <c r="BH45" i="1"/>
  <c r="BE45" i="1"/>
  <c r="AJ45" i="1"/>
  <c r="AI45" i="1"/>
  <c r="AG45" i="1"/>
  <c r="AY45" i="1" s="1"/>
  <c r="AA45" i="1"/>
  <c r="V45" i="1"/>
  <c r="X45" i="1" s="1"/>
  <c r="BJ44" i="1"/>
  <c r="BI44" i="1"/>
  <c r="BH44" i="1"/>
  <c r="BE44" i="1"/>
  <c r="BM44" i="1" s="1"/>
  <c r="AJ44" i="1"/>
  <c r="AI44" i="1"/>
  <c r="AG44" i="1"/>
  <c r="AY44" i="1" s="1"/>
  <c r="AA44" i="1"/>
  <c r="AC44" i="1" s="1"/>
  <c r="V44" i="1"/>
  <c r="X44" i="1" s="1"/>
  <c r="BJ43" i="1"/>
  <c r="BI43" i="1"/>
  <c r="BH43" i="1"/>
  <c r="BE43" i="1"/>
  <c r="BM43" i="1" s="1"/>
  <c r="AJ43" i="1"/>
  <c r="AI43" i="1"/>
  <c r="AG43" i="1"/>
  <c r="AX43" i="1" s="1"/>
  <c r="AA43" i="1"/>
  <c r="AC43" i="1" s="1"/>
  <c r="V43" i="1"/>
  <c r="X43" i="1" s="1"/>
  <c r="BJ42" i="1"/>
  <c r="BI42" i="1"/>
  <c r="BH42" i="1"/>
  <c r="BE42" i="1"/>
  <c r="BM42" i="1" s="1"/>
  <c r="AJ42" i="1"/>
  <c r="AI42" i="1"/>
  <c r="AG42" i="1"/>
  <c r="AY42" i="1" s="1"/>
  <c r="AA42" i="1"/>
  <c r="AB42" i="1" s="1"/>
  <c r="V42" i="1"/>
  <c r="X42" i="1" s="1"/>
  <c r="BJ41" i="1"/>
  <c r="BI41" i="1"/>
  <c r="BH41" i="1"/>
  <c r="BE41" i="1"/>
  <c r="BM41" i="1" s="1"/>
  <c r="AJ41" i="1"/>
  <c r="AI41" i="1"/>
  <c r="AG41" i="1"/>
  <c r="AA41" i="1"/>
  <c r="AB41" i="1" s="1"/>
  <c r="V41" i="1"/>
  <c r="X41" i="1" s="1"/>
  <c r="BJ40" i="1"/>
  <c r="BI40" i="1"/>
  <c r="BH40" i="1"/>
  <c r="BE40" i="1"/>
  <c r="BM40" i="1" s="1"/>
  <c r="AJ40" i="1"/>
  <c r="AI40" i="1"/>
  <c r="AG40" i="1"/>
  <c r="AY40" i="1" s="1"/>
  <c r="AA40" i="1"/>
  <c r="AB40" i="1" s="1"/>
  <c r="V40" i="1"/>
  <c r="X40" i="1" s="1"/>
  <c r="BJ39" i="1"/>
  <c r="BI39" i="1"/>
  <c r="BH39" i="1"/>
  <c r="BE39" i="1"/>
  <c r="BM39" i="1" s="1"/>
  <c r="AJ39" i="1"/>
  <c r="AI39" i="1"/>
  <c r="AG39" i="1"/>
  <c r="AA39" i="1"/>
  <c r="V39" i="1"/>
  <c r="X39" i="1" s="1"/>
  <c r="BJ38" i="1"/>
  <c r="BI38" i="1"/>
  <c r="BH38" i="1"/>
  <c r="BE38" i="1"/>
  <c r="AJ38" i="1"/>
  <c r="AI38" i="1"/>
  <c r="AG38" i="1"/>
  <c r="AX38" i="1" s="1"/>
  <c r="AA38" i="1"/>
  <c r="V38" i="1"/>
  <c r="X38" i="1" s="1"/>
  <c r="BJ37" i="1"/>
  <c r="BI37" i="1"/>
  <c r="BH37" i="1"/>
  <c r="BE37" i="1"/>
  <c r="BM37" i="1" s="1"/>
  <c r="AJ37" i="1"/>
  <c r="AO37" i="1" s="1"/>
  <c r="AI37" i="1"/>
  <c r="AG37" i="1"/>
  <c r="AA37" i="1"/>
  <c r="AC37" i="1" s="1"/>
  <c r="V37" i="1"/>
  <c r="X37" i="1" s="1"/>
  <c r="BJ36" i="1"/>
  <c r="BI36" i="1"/>
  <c r="BH36" i="1"/>
  <c r="BE36" i="1"/>
  <c r="AJ36" i="1"/>
  <c r="AI36" i="1"/>
  <c r="AG36" i="1"/>
  <c r="AA36" i="1"/>
  <c r="AC36" i="1" s="1"/>
  <c r="V36" i="1"/>
  <c r="X36" i="1" s="1"/>
  <c r="BJ35" i="1"/>
  <c r="BI35" i="1"/>
  <c r="BH35" i="1"/>
  <c r="BE35" i="1"/>
  <c r="AJ35" i="1"/>
  <c r="AI35" i="1"/>
  <c r="AG35" i="1"/>
  <c r="AY35" i="1" s="1"/>
  <c r="AA35" i="1"/>
  <c r="AB35" i="1" s="1"/>
  <c r="V35" i="1"/>
  <c r="X35" i="1" s="1"/>
  <c r="BJ34" i="1"/>
  <c r="BI34" i="1"/>
  <c r="BH34" i="1"/>
  <c r="BE34" i="1"/>
  <c r="BM34" i="1" s="1"/>
  <c r="AJ34" i="1"/>
  <c r="AI34" i="1"/>
  <c r="AG34" i="1"/>
  <c r="AA34" i="1"/>
  <c r="V34" i="1"/>
  <c r="X34" i="1" s="1"/>
  <c r="BJ33" i="1"/>
  <c r="BI33" i="1"/>
  <c r="BH33" i="1"/>
  <c r="BE33" i="1"/>
  <c r="AJ33" i="1"/>
  <c r="AI33" i="1"/>
  <c r="AG33" i="1"/>
  <c r="AY33" i="1" s="1"/>
  <c r="AA33" i="1"/>
  <c r="V33" i="1"/>
  <c r="X33" i="1" s="1"/>
  <c r="BJ32" i="1"/>
  <c r="BI32" i="1"/>
  <c r="BH32" i="1"/>
  <c r="BE32" i="1"/>
  <c r="AJ32" i="1"/>
  <c r="AI32" i="1"/>
  <c r="AG32" i="1"/>
  <c r="AY32" i="1" s="1"/>
  <c r="AA32" i="1"/>
  <c r="AB32" i="1" s="1"/>
  <c r="V32" i="1"/>
  <c r="X32" i="1" s="1"/>
  <c r="BJ31" i="1"/>
  <c r="BI31" i="1"/>
  <c r="BH31" i="1"/>
  <c r="BE31" i="1"/>
  <c r="BM31" i="1" s="1"/>
  <c r="AJ31" i="1"/>
  <c r="AO31" i="1" s="1"/>
  <c r="AI31" i="1"/>
  <c r="AG31" i="1"/>
  <c r="AY31" i="1" s="1"/>
  <c r="AA31" i="1"/>
  <c r="AC31" i="1" s="1"/>
  <c r="V31" i="1"/>
  <c r="M25" i="1"/>
  <c r="M24" i="1"/>
  <c r="M23" i="1"/>
  <c r="M22" i="1"/>
  <c r="M21" i="1"/>
  <c r="M20" i="1"/>
  <c r="X19" i="1"/>
  <c r="M19" i="1"/>
  <c r="X18" i="1"/>
  <c r="M18" i="1"/>
  <c r="X17" i="1"/>
  <c r="M17" i="1"/>
  <c r="M16" i="1"/>
  <c r="M15" i="1"/>
  <c r="M14" i="1"/>
  <c r="M13" i="1"/>
  <c r="M12" i="1"/>
  <c r="M11" i="1"/>
  <c r="M10" i="1"/>
  <c r="M9" i="1"/>
  <c r="AA8" i="1"/>
  <c r="Z8" i="1"/>
  <c r="Z7" i="1" s="1"/>
  <c r="Z10" i="1" s="1"/>
  <c r="M8" i="1"/>
  <c r="AA7" i="1"/>
  <c r="M7" i="1"/>
  <c r="M6" i="1"/>
  <c r="M5" i="1"/>
  <c r="M4" i="1"/>
  <c r="M3" i="1"/>
  <c r="BK826" i="1" l="1"/>
  <c r="BK831" i="1"/>
  <c r="BK841" i="1"/>
  <c r="BK1069" i="1"/>
  <c r="BL1273" i="1"/>
  <c r="AB73" i="1"/>
  <c r="AE1276" i="1"/>
  <c r="AF1276" i="1"/>
  <c r="AC155" i="1"/>
  <c r="AP156" i="1"/>
  <c r="AQ156" i="1" s="1"/>
  <c r="BK1014" i="1"/>
  <c r="BK227" i="1"/>
  <c r="BL770" i="1"/>
  <c r="BL406" i="1"/>
  <c r="AX880" i="1"/>
  <c r="AP1039" i="1"/>
  <c r="AC1247" i="1"/>
  <c r="BL202" i="1"/>
  <c r="AP1054" i="1"/>
  <c r="BK1080" i="1"/>
  <c r="AP1083" i="1"/>
  <c r="AG1169" i="1"/>
  <c r="AX1169" i="1" s="1"/>
  <c r="AY236" i="1"/>
  <c r="BK80" i="1"/>
  <c r="BK525" i="1"/>
  <c r="AB661" i="1"/>
  <c r="AC714" i="1"/>
  <c r="BK1107" i="1"/>
  <c r="BK403" i="1"/>
  <c r="AC808" i="1"/>
  <c r="AB245" i="1"/>
  <c r="AY1039" i="1"/>
  <c r="AY1191" i="1"/>
  <c r="AP226" i="1"/>
  <c r="AQ226" i="1" s="1"/>
  <c r="AP533" i="1"/>
  <c r="AP889" i="1"/>
  <c r="AQ889" i="1" s="1"/>
  <c r="BK705" i="1"/>
  <c r="AB877" i="1"/>
  <c r="BK956" i="1"/>
  <c r="AX264" i="1"/>
  <c r="AP822" i="1"/>
  <c r="BK824" i="1"/>
  <c r="BK865" i="1"/>
  <c r="AP399" i="1"/>
  <c r="AQ399" i="1" s="1"/>
  <c r="BK820" i="1"/>
  <c r="AB408" i="1"/>
  <c r="AP447" i="1"/>
  <c r="AQ447" i="1" s="1"/>
  <c r="BK471" i="1"/>
  <c r="BL798" i="1"/>
  <c r="BL812" i="1"/>
  <c r="BK967" i="1"/>
  <c r="AP1018" i="1"/>
  <c r="AQ1018" i="1" s="1"/>
  <c r="AY545" i="1"/>
  <c r="AY529" i="1"/>
  <c r="BK648" i="1"/>
  <c r="BK667" i="1"/>
  <c r="AP712" i="1"/>
  <c r="AQ712" i="1" s="1"/>
  <c r="AP725" i="1"/>
  <c r="AQ725" i="1" s="1"/>
  <c r="BL158" i="1"/>
  <c r="AP176" i="1"/>
  <c r="AP314" i="1"/>
  <c r="AP417" i="1"/>
  <c r="AQ417" i="1" s="1"/>
  <c r="AX659" i="1"/>
  <c r="AX110" i="1"/>
  <c r="BL370" i="1"/>
  <c r="AC434" i="1"/>
  <c r="BL576" i="1"/>
  <c r="BK686" i="1"/>
  <c r="BK739" i="1"/>
  <c r="BK815" i="1"/>
  <c r="AB831" i="1"/>
  <c r="BK884" i="1"/>
  <c r="AB1203" i="1"/>
  <c r="BK162" i="1"/>
  <c r="BK515" i="1"/>
  <c r="BK567" i="1"/>
  <c r="BK576" i="1"/>
  <c r="BK644" i="1"/>
  <c r="BK910" i="1"/>
  <c r="BL261" i="1"/>
  <c r="BK314" i="1"/>
  <c r="BK763" i="1"/>
  <c r="BK213" i="1"/>
  <c r="AP458" i="1"/>
  <c r="BK492" i="1"/>
  <c r="AP603" i="1"/>
  <c r="AP619" i="1"/>
  <c r="AQ619" i="1" s="1"/>
  <c r="BK621" i="1"/>
  <c r="BK1188" i="1"/>
  <c r="BK132" i="1"/>
  <c r="AP215" i="1"/>
  <c r="AQ215" i="1" s="1"/>
  <c r="BK294" i="1"/>
  <c r="BL377" i="1"/>
  <c r="BK473" i="1"/>
  <c r="BK553" i="1"/>
  <c r="AP605" i="1"/>
  <c r="AQ605" i="1" s="1"/>
  <c r="BL663" i="1"/>
  <c r="BK894" i="1"/>
  <c r="BK1269" i="1"/>
  <c r="BK513" i="1"/>
  <c r="BK663" i="1"/>
  <c r="AY821" i="1"/>
  <c r="AB1012" i="1"/>
  <c r="AP1045" i="1"/>
  <c r="BK1162" i="1"/>
  <c r="AG1194" i="1"/>
  <c r="AG1247" i="1"/>
  <c r="BK1261" i="1"/>
  <c r="AG181" i="1"/>
  <c r="AX181" i="1" s="1"/>
  <c r="BK381" i="1"/>
  <c r="AX784" i="1"/>
  <c r="AX936" i="1"/>
  <c r="AP1003" i="1"/>
  <c r="BK110" i="1"/>
  <c r="AC63" i="1"/>
  <c r="BL143" i="1"/>
  <c r="AX297" i="1"/>
  <c r="BL79" i="1"/>
  <c r="AP58" i="1"/>
  <c r="BL54" i="1"/>
  <c r="AP187" i="1"/>
  <c r="AQ187" i="1" s="1"/>
  <c r="AP311" i="1"/>
  <c r="AP503" i="1"/>
  <c r="AQ503" i="1" s="1"/>
  <c r="BK764" i="1"/>
  <c r="AX787" i="1"/>
  <c r="AX999" i="1"/>
  <c r="AP1007" i="1"/>
  <c r="BK1203" i="1"/>
  <c r="BK150" i="1"/>
  <c r="AX462" i="1"/>
  <c r="AP978" i="1"/>
  <c r="BL984" i="1"/>
  <c r="BK1029" i="1"/>
  <c r="AP1221" i="1"/>
  <c r="AQ1221" i="1" s="1"/>
  <c r="AP378" i="1"/>
  <c r="AQ378" i="1" s="1"/>
  <c r="AP494" i="1"/>
  <c r="BK504" i="1"/>
  <c r="BL579" i="1"/>
  <c r="BK626" i="1"/>
  <c r="BK730" i="1"/>
  <c r="BK738" i="1"/>
  <c r="AP780" i="1"/>
  <c r="AQ780" i="1" s="1"/>
  <c r="AP855" i="1"/>
  <c r="AQ855" i="1" s="1"/>
  <c r="BL856" i="1"/>
  <c r="BL859" i="1"/>
  <c r="BK960" i="1"/>
  <c r="BK965" i="1"/>
  <c r="AP1103" i="1"/>
  <c r="AP1115" i="1"/>
  <c r="BK1144" i="1"/>
  <c r="BK1165" i="1"/>
  <c r="BK1185" i="1"/>
  <c r="BK223" i="1"/>
  <c r="BK432" i="1"/>
  <c r="BK603" i="1"/>
  <c r="AX614" i="1"/>
  <c r="BL737" i="1"/>
  <c r="BK772" i="1"/>
  <c r="BK787" i="1"/>
  <c r="AP893" i="1"/>
  <c r="BK970" i="1"/>
  <c r="AP987" i="1"/>
  <c r="BK994" i="1"/>
  <c r="AP1127" i="1"/>
  <c r="AC59" i="1"/>
  <c r="BK87" i="1"/>
  <c r="BK259" i="1"/>
  <c r="AP377" i="1"/>
  <c r="AQ377" i="1" s="1"/>
  <c r="AP391" i="1"/>
  <c r="AQ391" i="1" s="1"/>
  <c r="AP515" i="1"/>
  <c r="AQ515" i="1" s="1"/>
  <c r="BK569" i="1"/>
  <c r="BK599" i="1"/>
  <c r="BK633" i="1"/>
  <c r="AP740" i="1"/>
  <c r="BL757" i="1"/>
  <c r="BK933" i="1"/>
  <c r="BK1007" i="1"/>
  <c r="BL1188" i="1"/>
  <c r="BK602" i="1"/>
  <c r="BK624" i="1"/>
  <c r="AP695" i="1"/>
  <c r="AQ695" i="1" s="1"/>
  <c r="BK1037" i="1"/>
  <c r="BL1089" i="1"/>
  <c r="BK1134" i="1"/>
  <c r="AC345" i="1"/>
  <c r="BL452" i="1"/>
  <c r="BK485" i="1"/>
  <c r="AP492" i="1"/>
  <c r="BK546" i="1"/>
  <c r="BK632" i="1"/>
  <c r="BK641" i="1"/>
  <c r="BK696" i="1"/>
  <c r="BK794" i="1"/>
  <c r="BK845" i="1"/>
  <c r="BL902" i="1"/>
  <c r="AP990" i="1"/>
  <c r="AQ990" i="1" s="1"/>
  <c r="BK997" i="1"/>
  <c r="BK1026" i="1"/>
  <c r="BL1122" i="1"/>
  <c r="AX371" i="1"/>
  <c r="AP468" i="1"/>
  <c r="AP1029" i="1"/>
  <c r="BK1040" i="1"/>
  <c r="AP1091" i="1"/>
  <c r="AQ1091" i="1" s="1"/>
  <c r="BK1175" i="1"/>
  <c r="AP1254" i="1"/>
  <c r="AP112" i="1"/>
  <c r="AC316" i="1"/>
  <c r="AX450" i="1"/>
  <c r="AB75" i="1"/>
  <c r="BK185" i="1"/>
  <c r="AY330" i="1"/>
  <c r="AC353" i="1"/>
  <c r="AY370" i="1"/>
  <c r="AP479" i="1"/>
  <c r="AB486" i="1"/>
  <c r="AP495" i="1"/>
  <c r="AQ495" i="1" s="1"/>
  <c r="BK510" i="1"/>
  <c r="BK524" i="1"/>
  <c r="BK622" i="1"/>
  <c r="AP670" i="1"/>
  <c r="AQ670" i="1" s="1"/>
  <c r="BL721" i="1"/>
  <c r="BL1214" i="1"/>
  <c r="BK477" i="1"/>
  <c r="AX510" i="1"/>
  <c r="AP620" i="1"/>
  <c r="AQ620" i="1" s="1"/>
  <c r="BL621" i="1"/>
  <c r="AP637" i="1"/>
  <c r="AQ637" i="1" s="1"/>
  <c r="AY724" i="1"/>
  <c r="AY743" i="1"/>
  <c r="AP754" i="1"/>
  <c r="AQ754" i="1" s="1"/>
  <c r="AB864" i="1"/>
  <c r="AP907" i="1"/>
  <c r="AQ907" i="1" s="1"/>
  <c r="AY1121" i="1"/>
  <c r="AC35" i="1"/>
  <c r="BK71" i="1"/>
  <c r="AP74" i="1"/>
  <c r="AQ74" i="1" s="1"/>
  <c r="AY91" i="1"/>
  <c r="BK140" i="1"/>
  <c r="BK144" i="1"/>
  <c r="AP189" i="1"/>
  <c r="AQ189" i="1" s="1"/>
  <c r="BK198" i="1"/>
  <c r="AC360" i="1"/>
  <c r="AP454" i="1"/>
  <c r="AQ454" i="1" s="1"/>
  <c r="BL483" i="1"/>
  <c r="AB582" i="1"/>
  <c r="BK711" i="1"/>
  <c r="BK744" i="1"/>
  <c r="AP838" i="1"/>
  <c r="BL848" i="1"/>
  <c r="BK881" i="1"/>
  <c r="AP911" i="1"/>
  <c r="AQ911" i="1" s="1"/>
  <c r="BK913" i="1"/>
  <c r="AP936" i="1"/>
  <c r="AQ936" i="1" s="1"/>
  <c r="AP943" i="1"/>
  <c r="AQ943" i="1" s="1"/>
  <c r="AP1011" i="1"/>
  <c r="AQ1011" i="1" s="1"/>
  <c r="BK1127" i="1"/>
  <c r="BK1137" i="1"/>
  <c r="BK1142" i="1"/>
  <c r="AP1145" i="1"/>
  <c r="BL1162" i="1"/>
  <c r="AP1166" i="1"/>
  <c r="AQ1166" i="1" s="1"/>
  <c r="AX65" i="1"/>
  <c r="AP285" i="1"/>
  <c r="AQ285" i="1" s="1"/>
  <c r="AY314" i="1"/>
  <c r="AP320" i="1"/>
  <c r="AP416" i="1"/>
  <c r="AQ416" i="1" s="1"/>
  <c r="BL560" i="1"/>
  <c r="AC981" i="1"/>
  <c r="AP982" i="1"/>
  <c r="AC986" i="1"/>
  <c r="BL1012" i="1"/>
  <c r="BL1096" i="1"/>
  <c r="AB1139" i="1"/>
  <c r="AP73" i="1"/>
  <c r="AY188" i="1"/>
  <c r="AC319" i="1"/>
  <c r="BK329" i="1"/>
  <c r="AC356" i="1"/>
  <c r="AB419" i="1"/>
  <c r="BL509" i="1"/>
  <c r="AC517" i="1"/>
  <c r="AB891" i="1"/>
  <c r="BL1044" i="1"/>
  <c r="AP1245" i="1"/>
  <c r="AP1262" i="1"/>
  <c r="AQ1262" i="1" s="1"/>
  <c r="BK1267" i="1"/>
  <c r="BK74" i="1"/>
  <c r="AY94" i="1"/>
  <c r="BK126" i="1"/>
  <c r="BK130" i="1"/>
  <c r="BK249" i="1"/>
  <c r="AY319" i="1"/>
  <c r="BK407" i="1"/>
  <c r="BK421" i="1"/>
  <c r="AP485" i="1"/>
  <c r="BK542" i="1"/>
  <c r="BK545" i="1"/>
  <c r="BK577" i="1"/>
  <c r="BK620" i="1"/>
  <c r="BK628" i="1"/>
  <c r="AP632" i="1"/>
  <c r="BK637" i="1"/>
  <c r="BK682" i="1"/>
  <c r="BK742" i="1"/>
  <c r="BK796" i="1"/>
  <c r="BK823" i="1"/>
  <c r="AP900" i="1"/>
  <c r="AQ900" i="1" s="1"/>
  <c r="BL926" i="1"/>
  <c r="AP996" i="1"/>
  <c r="AQ996" i="1" s="1"/>
  <c r="BL1011" i="1"/>
  <c r="BL1048" i="1"/>
  <c r="AP1058" i="1"/>
  <c r="AQ1058" i="1" s="1"/>
  <c r="AP1111" i="1"/>
  <c r="AP1234" i="1"/>
  <c r="AP319" i="1"/>
  <c r="AQ319" i="1" s="1"/>
  <c r="AP331" i="1"/>
  <c r="AQ331" i="1" s="1"/>
  <c r="AY374" i="1"/>
  <c r="AX442" i="1"/>
  <c r="AP894" i="1"/>
  <c r="AQ894" i="1" s="1"/>
  <c r="AP909" i="1"/>
  <c r="BK35" i="1"/>
  <c r="BK54" i="1"/>
  <c r="AB76" i="1"/>
  <c r="BK240" i="1"/>
  <c r="AP266" i="1"/>
  <c r="AQ266" i="1" s="1"/>
  <c r="BL272" i="1"/>
  <c r="BL284" i="1"/>
  <c r="BK323" i="1"/>
  <c r="BK389" i="1"/>
  <c r="AY398" i="1"/>
  <c r="AX437" i="1"/>
  <c r="BL618" i="1"/>
  <c r="AX641" i="1"/>
  <c r="BK1095" i="1"/>
  <c r="BL1144" i="1"/>
  <c r="BK1235" i="1"/>
  <c r="BL68" i="1"/>
  <c r="BL303" i="1"/>
  <c r="AP547" i="1"/>
  <c r="AQ547" i="1" s="1"/>
  <c r="AB635" i="1"/>
  <c r="AP645" i="1"/>
  <c r="AQ645" i="1" s="1"/>
  <c r="AB668" i="1"/>
  <c r="BK757" i="1"/>
  <c r="BK776" i="1"/>
  <c r="BK133" i="1"/>
  <c r="BK272" i="1"/>
  <c r="BK335" i="1"/>
  <c r="AP358" i="1"/>
  <c r="AQ358" i="1" s="1"/>
  <c r="AC367" i="1"/>
  <c r="BK379" i="1"/>
  <c r="AY429" i="1"/>
  <c r="AX531" i="1"/>
  <c r="AP610" i="1"/>
  <c r="AQ610" i="1" s="1"/>
  <c r="AB688" i="1"/>
  <c r="BK694" i="1"/>
  <c r="BK703" i="1"/>
  <c r="BK726" i="1"/>
  <c r="BK740" i="1"/>
  <c r="BK766" i="1"/>
  <c r="BK818" i="1"/>
  <c r="AP908" i="1"/>
  <c r="AB1038" i="1"/>
  <c r="AP1110" i="1"/>
  <c r="AQ1110" i="1" s="1"/>
  <c r="AP1137" i="1"/>
  <c r="AQ1137" i="1" s="1"/>
  <c r="AB1259" i="1"/>
  <c r="BL403" i="1"/>
  <c r="BK507" i="1"/>
  <c r="AX526" i="1"/>
  <c r="BK563" i="1"/>
  <c r="AC80" i="1"/>
  <c r="AP88" i="1"/>
  <c r="AQ88" i="1" s="1"/>
  <c r="AP91" i="1"/>
  <c r="AQ91" i="1" s="1"/>
  <c r="BK120" i="1"/>
  <c r="BK218" i="1"/>
  <c r="AY224" i="1"/>
  <c r="AP340" i="1"/>
  <c r="AQ340" i="1" s="1"/>
  <c r="AY354" i="1"/>
  <c r="BK465" i="1"/>
  <c r="AX616" i="1"/>
  <c r="BK712" i="1"/>
  <c r="AP724" i="1"/>
  <c r="AQ724" i="1" s="1"/>
  <c r="AX729" i="1"/>
  <c r="BK817" i="1"/>
  <c r="BK955" i="1"/>
  <c r="AP1077" i="1"/>
  <c r="AQ1077" i="1" s="1"/>
  <c r="AP1080" i="1"/>
  <c r="AQ1080" i="1" s="1"/>
  <c r="BK1098" i="1"/>
  <c r="BK1103" i="1"/>
  <c r="BK1138" i="1"/>
  <c r="AP1192" i="1"/>
  <c r="AP1212" i="1"/>
  <c r="BK1214" i="1"/>
  <c r="BK1239" i="1"/>
  <c r="BL223" i="1"/>
  <c r="AX343" i="1"/>
  <c r="BM377" i="1"/>
  <c r="AX393" i="1"/>
  <c r="AC946" i="1"/>
  <c r="AX1007" i="1"/>
  <c r="AX1030" i="1"/>
  <c r="AX1031" i="1"/>
  <c r="AB1108" i="1"/>
  <c r="AY1197" i="1"/>
  <c r="AY1210" i="1"/>
  <c r="AP57" i="1"/>
  <c r="AQ57" i="1" s="1"/>
  <c r="AB72" i="1"/>
  <c r="AP80" i="1"/>
  <c r="AQ80" i="1" s="1"/>
  <c r="BL92" i="1"/>
  <c r="AY113" i="1"/>
  <c r="BK114" i="1"/>
  <c r="AC120" i="1"/>
  <c r="AP138" i="1"/>
  <c r="AQ138" i="1" s="1"/>
  <c r="BK139" i="1"/>
  <c r="BK164" i="1"/>
  <c r="AY195" i="1"/>
  <c r="BK208" i="1"/>
  <c r="BK222" i="1"/>
  <c r="AP238" i="1"/>
  <c r="BK244" i="1"/>
  <c r="AC295" i="1"/>
  <c r="BL304" i="1"/>
  <c r="BL331" i="1"/>
  <c r="BK336" i="1"/>
  <c r="AP362" i="1"/>
  <c r="AQ362" i="1" s="1"/>
  <c r="BK369" i="1"/>
  <c r="BK383" i="1"/>
  <c r="AC411" i="1"/>
  <c r="AB440" i="1"/>
  <c r="AP441" i="1"/>
  <c r="BL481" i="1"/>
  <c r="BK509" i="1"/>
  <c r="AP537" i="1"/>
  <c r="AQ537" i="1" s="1"/>
  <c r="BL649" i="1"/>
  <c r="BK655" i="1"/>
  <c r="AP693" i="1"/>
  <c r="AQ693" i="1" s="1"/>
  <c r="BK708" i="1"/>
  <c r="AP757" i="1"/>
  <c r="AQ757" i="1" s="1"/>
  <c r="AY762" i="1"/>
  <c r="BK780" i="1"/>
  <c r="BK800" i="1"/>
  <c r="BK808" i="1"/>
  <c r="BL809" i="1"/>
  <c r="BM859" i="1"/>
  <c r="AB861" i="1"/>
  <c r="BL873" i="1"/>
  <c r="AX877" i="1"/>
  <c r="BK947" i="1"/>
  <c r="AP952" i="1"/>
  <c r="AQ952" i="1" s="1"/>
  <c r="AP967" i="1"/>
  <c r="AC1034" i="1"/>
  <c r="AC1051" i="1"/>
  <c r="AY1056" i="1"/>
  <c r="BK1058" i="1"/>
  <c r="AB1127" i="1"/>
  <c r="AY1135" i="1"/>
  <c r="BK1141" i="1"/>
  <c r="AY1145" i="1"/>
  <c r="AP1154" i="1"/>
  <c r="AC40" i="1"/>
  <c r="AP52" i="1"/>
  <c r="AQ52" i="1" s="1"/>
  <c r="BL87" i="1"/>
  <c r="BK100" i="1"/>
  <c r="BK148" i="1"/>
  <c r="AC161" i="1"/>
  <c r="AC189" i="1"/>
  <c r="BK216" i="1"/>
  <c r="BK275" i="1"/>
  <c r="AP278" i="1"/>
  <c r="AQ278" i="1" s="1"/>
  <c r="BK331" i="1"/>
  <c r="AC338" i="1"/>
  <c r="BL339" i="1"/>
  <c r="BK355" i="1"/>
  <c r="AC385" i="1"/>
  <c r="AB389" i="1"/>
  <c r="AY397" i="1"/>
  <c r="BK399" i="1"/>
  <c r="AX412" i="1"/>
  <c r="BK426" i="1"/>
  <c r="BK434" i="1"/>
  <c r="AC491" i="1"/>
  <c r="AX493" i="1"/>
  <c r="BK529" i="1"/>
  <c r="BK580" i="1"/>
  <c r="BK586" i="1"/>
  <c r="AB601" i="1"/>
  <c r="AP642" i="1"/>
  <c r="AQ642" i="1" s="1"/>
  <c r="BL643" i="1"/>
  <c r="BK649" i="1"/>
  <c r="BK670" i="1"/>
  <c r="AX745" i="1"/>
  <c r="AC761" i="1"/>
  <c r="AP797" i="1"/>
  <c r="AQ797" i="1" s="1"/>
  <c r="BL804" i="1"/>
  <c r="BK814" i="1"/>
  <c r="AX838" i="1"/>
  <c r="AP881" i="1"/>
  <c r="AQ881" i="1" s="1"/>
  <c r="AX895" i="1"/>
  <c r="BL962" i="1"/>
  <c r="AY1005" i="1"/>
  <c r="AX1043" i="1"/>
  <c r="BK1044" i="1"/>
  <c r="AP1100" i="1"/>
  <c r="AP1153" i="1"/>
  <c r="AQ1153" i="1" s="1"/>
  <c r="AP1159" i="1"/>
  <c r="AQ1159" i="1" s="1"/>
  <c r="BK1259" i="1"/>
  <c r="AP32" i="1"/>
  <c r="AQ32" i="1" s="1"/>
  <c r="BL95" i="1"/>
  <c r="AP116" i="1"/>
  <c r="AQ116" i="1" s="1"/>
  <c r="AB118" i="1"/>
  <c r="AP119" i="1"/>
  <c r="AQ119" i="1" s="1"/>
  <c r="AP124" i="1"/>
  <c r="AQ124" i="1" s="1"/>
  <c r="BK174" i="1"/>
  <c r="BK186" i="1"/>
  <c r="AX237" i="1"/>
  <c r="AP247" i="1"/>
  <c r="AX273" i="1"/>
  <c r="BK288" i="1"/>
  <c r="AC290" i="1"/>
  <c r="BL302" i="1"/>
  <c r="AX318" i="1"/>
  <c r="AC333" i="1"/>
  <c r="BK339" i="1"/>
  <c r="BK405" i="1"/>
  <c r="BK422" i="1"/>
  <c r="AY452" i="1"/>
  <c r="AX479" i="1"/>
  <c r="AX497" i="1"/>
  <c r="BK550" i="1"/>
  <c r="BL559" i="1"/>
  <c r="AY567" i="1"/>
  <c r="BL610" i="1"/>
  <c r="BK611" i="1"/>
  <c r="AC742" i="1"/>
  <c r="AC748" i="1"/>
  <c r="BK762" i="1"/>
  <c r="BL799" i="1"/>
  <c r="BK828" i="1"/>
  <c r="BL844" i="1"/>
  <c r="AP851" i="1"/>
  <c r="AQ851" i="1" s="1"/>
  <c r="BK877" i="1"/>
  <c r="BK887" i="1"/>
  <c r="BK896" i="1"/>
  <c r="AP915" i="1"/>
  <c r="AQ915" i="1" s="1"/>
  <c r="BK932" i="1"/>
  <c r="AB965" i="1"/>
  <c r="BK968" i="1"/>
  <c r="BK973" i="1"/>
  <c r="BK990" i="1"/>
  <c r="AY1004" i="1"/>
  <c r="BK1049" i="1"/>
  <c r="AY1061" i="1"/>
  <c r="BL1090" i="1"/>
  <c r="AP1107" i="1"/>
  <c r="AQ1107" i="1" s="1"/>
  <c r="AY1113" i="1"/>
  <c r="BK1155" i="1"/>
  <c r="BL1200" i="1"/>
  <c r="BK1215" i="1"/>
  <c r="BL1223" i="1"/>
  <c r="BK1224" i="1"/>
  <c r="BK1249" i="1"/>
  <c r="BK1258" i="1"/>
  <c r="AP55" i="1"/>
  <c r="AQ55" i="1" s="1"/>
  <c r="BK68" i="1"/>
  <c r="AX78" i="1"/>
  <c r="BK90" i="1"/>
  <c r="AX119" i="1"/>
  <c r="BK125" i="1"/>
  <c r="BK129" i="1"/>
  <c r="BK142" i="1"/>
  <c r="AP172" i="1"/>
  <c r="AQ172" i="1" s="1"/>
  <c r="AX227" i="1"/>
  <c r="AY410" i="1"/>
  <c r="BL425" i="1"/>
  <c r="BK441" i="1"/>
  <c r="BK453" i="1"/>
  <c r="BK528" i="1"/>
  <c r="AP544" i="1"/>
  <c r="AQ544" i="1" s="1"/>
  <c r="BK568" i="1"/>
  <c r="BK579" i="1"/>
  <c r="BK590" i="1"/>
  <c r="AP601" i="1"/>
  <c r="AQ601" i="1" s="1"/>
  <c r="BK606" i="1"/>
  <c r="AX944" i="1"/>
  <c r="AX1003" i="1"/>
  <c r="AY1060" i="1"/>
  <c r="AX1181" i="1"/>
  <c r="Y18" i="1"/>
  <c r="BK45" i="1"/>
  <c r="BK52" i="1"/>
  <c r="BK73" i="1"/>
  <c r="AP165" i="1"/>
  <c r="AQ165" i="1" s="1"/>
  <c r="AP262" i="1"/>
  <c r="AQ262" i="1" s="1"/>
  <c r="AP293" i="1"/>
  <c r="AQ293" i="1" s="1"/>
  <c r="BL309" i="1"/>
  <c r="BK324" i="1"/>
  <c r="AB356" i="1"/>
  <c r="AP431" i="1"/>
  <c r="AQ431" i="1" s="1"/>
  <c r="BL466" i="1"/>
  <c r="AP510" i="1"/>
  <c r="AQ510" i="1" s="1"/>
  <c r="AP526" i="1"/>
  <c r="AQ526" i="1" s="1"/>
  <c r="BL558" i="1"/>
  <c r="BK617" i="1"/>
  <c r="BK653" i="1"/>
  <c r="BK673" i="1"/>
  <c r="BK683" i="1"/>
  <c r="BL689" i="1"/>
  <c r="BK734" i="1"/>
  <c r="BK745" i="1"/>
  <c r="BK752" i="1"/>
  <c r="AC764" i="1"/>
  <c r="BM798" i="1"/>
  <c r="BK822" i="1"/>
  <c r="BK834" i="1"/>
  <c r="BK838" i="1"/>
  <c r="AP923" i="1"/>
  <c r="BK926" i="1"/>
  <c r="AC934" i="1"/>
  <c r="AP965" i="1"/>
  <c r="AQ965" i="1" s="1"/>
  <c r="AB1025" i="1"/>
  <c r="BK1035" i="1"/>
  <c r="AB1176" i="1"/>
  <c r="AB1236" i="1"/>
  <c r="BK1061" i="1"/>
  <c r="BL1088" i="1"/>
  <c r="AC1250" i="1"/>
  <c r="AB148" i="1"/>
  <c r="BK210" i="1"/>
  <c r="BK263" i="1"/>
  <c r="BL312" i="1"/>
  <c r="AC326" i="1"/>
  <c r="AC364" i="1"/>
  <c r="AB406" i="1"/>
  <c r="AC448" i="1"/>
  <c r="AB499" i="1"/>
  <c r="AP625" i="1"/>
  <c r="AQ625" i="1" s="1"/>
  <c r="AO626" i="1"/>
  <c r="AC628" i="1"/>
  <c r="AP750" i="1"/>
  <c r="AQ750" i="1" s="1"/>
  <c r="BL851" i="1"/>
  <c r="AC854" i="1"/>
  <c r="AC1024" i="1"/>
  <c r="AX1111" i="1"/>
  <c r="AC1175" i="1"/>
  <c r="BK1222" i="1"/>
  <c r="BK48" i="1"/>
  <c r="AC50" i="1"/>
  <c r="AC69" i="1"/>
  <c r="BL77" i="1"/>
  <c r="AP101" i="1"/>
  <c r="AQ101" i="1" s="1"/>
  <c r="AC113" i="1"/>
  <c r="AB143" i="1"/>
  <c r="BK237" i="1"/>
  <c r="AP244" i="1"/>
  <c r="BL254" i="1"/>
  <c r="AP280" i="1"/>
  <c r="AQ280" i="1" s="1"/>
  <c r="AX284" i="1"/>
  <c r="AP350" i="1"/>
  <c r="AQ350" i="1" s="1"/>
  <c r="BL486" i="1"/>
  <c r="AX613" i="1"/>
  <c r="AP639" i="1"/>
  <c r="AQ639" i="1" s="1"/>
  <c r="AY686" i="1"/>
  <c r="BL732" i="1"/>
  <c r="AY765" i="1"/>
  <c r="AB779" i="1"/>
  <c r="AB784" i="1"/>
  <c r="AB819" i="1"/>
  <c r="AX908" i="1"/>
  <c r="BK924" i="1"/>
  <c r="AP933" i="1"/>
  <c r="AQ933" i="1" s="1"/>
  <c r="AP954" i="1"/>
  <c r="AP958" i="1"/>
  <c r="AQ958" i="1" s="1"/>
  <c r="AP963" i="1"/>
  <c r="AQ963" i="1" s="1"/>
  <c r="AB968" i="1"/>
  <c r="BK976" i="1"/>
  <c r="AP980" i="1"/>
  <c r="AQ980" i="1" s="1"/>
  <c r="AP991" i="1"/>
  <c r="AQ991" i="1" s="1"/>
  <c r="AX1038" i="1"/>
  <c r="BK1072" i="1"/>
  <c r="AY1092" i="1"/>
  <c r="BK1094" i="1"/>
  <c r="BK1120" i="1"/>
  <c r="BK1126" i="1"/>
  <c r="AX1190" i="1"/>
  <c r="AP1210" i="1"/>
  <c r="AB1258" i="1"/>
  <c r="BK136" i="1"/>
  <c r="AY144" i="1"/>
  <c r="BL155" i="1"/>
  <c r="AY159" i="1"/>
  <c r="AX180" i="1"/>
  <c r="BL231" i="1"/>
  <c r="AX261" i="1"/>
  <c r="BK307" i="1"/>
  <c r="AY336" i="1"/>
  <c r="BK377" i="1"/>
  <c r="AX387" i="1"/>
  <c r="AC398" i="1"/>
  <c r="AY414" i="1"/>
  <c r="BM466" i="1"/>
  <c r="AP575" i="1"/>
  <c r="AQ575" i="1" s="1"/>
  <c r="AX625" i="1"/>
  <c r="AB644" i="1"/>
  <c r="BL801" i="1"/>
  <c r="BK833" i="1"/>
  <c r="AX898" i="1"/>
  <c r="AP104" i="1"/>
  <c r="AP108" i="1"/>
  <c r="AQ108" i="1" s="1"/>
  <c r="BK154" i="1"/>
  <c r="BK176" i="1"/>
  <c r="AY200" i="1"/>
  <c r="BK209" i="1"/>
  <c r="AX216" i="1"/>
  <c r="BK285" i="1"/>
  <c r="BK290" i="1"/>
  <c r="BK293" i="1"/>
  <c r="BK327" i="1"/>
  <c r="AB348" i="1"/>
  <c r="BL350" i="1"/>
  <c r="BK366" i="1"/>
  <c r="AP374" i="1"/>
  <c r="AQ374" i="1" s="1"/>
  <c r="AC436" i="1"/>
  <c r="AY546" i="1"/>
  <c r="BK557" i="1"/>
  <c r="BK562" i="1"/>
  <c r="AC568" i="1"/>
  <c r="AP595" i="1"/>
  <c r="BM621" i="1"/>
  <c r="AB633" i="1"/>
  <c r="BK681" i="1"/>
  <c r="AP694" i="1"/>
  <c r="AQ694" i="1" s="1"/>
  <c r="BL722" i="1"/>
  <c r="AC730" i="1"/>
  <c r="AB757" i="1"/>
  <c r="AP784" i="1"/>
  <c r="AQ784" i="1" s="1"/>
  <c r="BL795" i="1"/>
  <c r="AB827" i="1"/>
  <c r="BK830" i="1"/>
  <c r="BK850" i="1"/>
  <c r="AP874" i="1"/>
  <c r="AQ874" i="1" s="1"/>
  <c r="AY888" i="1"/>
  <c r="AB927" i="1"/>
  <c r="AP928" i="1"/>
  <c r="AP940" i="1"/>
  <c r="AQ940" i="1" s="1"/>
  <c r="BL976" i="1"/>
  <c r="AB989" i="1"/>
  <c r="BK1009" i="1"/>
  <c r="BK1020" i="1"/>
  <c r="BK1065" i="1"/>
  <c r="AB1079" i="1"/>
  <c r="AY1086" i="1"/>
  <c r="AX1156" i="1"/>
  <c r="BM412" i="1"/>
  <c r="BL412" i="1"/>
  <c r="BM664" i="1"/>
  <c r="BL664" i="1"/>
  <c r="AY961" i="1"/>
  <c r="AX961" i="1"/>
  <c r="BK41" i="1"/>
  <c r="BL53" i="1"/>
  <c r="AP76" i="1"/>
  <c r="AQ76" i="1" s="1"/>
  <c r="AC93" i="1"/>
  <c r="AC98" i="1"/>
  <c r="AB114" i="1"/>
  <c r="BK127" i="1"/>
  <c r="AB130" i="1"/>
  <c r="AP149" i="1"/>
  <c r="AQ149" i="1" s="1"/>
  <c r="AP161" i="1"/>
  <c r="AQ161" i="1" s="1"/>
  <c r="AP179" i="1"/>
  <c r="AQ179" i="1" s="1"/>
  <c r="BK184" i="1"/>
  <c r="BL201" i="1"/>
  <c r="AP219" i="1"/>
  <c r="AQ219" i="1" s="1"/>
  <c r="AC228" i="1"/>
  <c r="BL230" i="1"/>
  <c r="AC234" i="1"/>
  <c r="AP235" i="1"/>
  <c r="AQ235" i="1" s="1"/>
  <c r="BK238" i="1"/>
  <c r="BK239" i="1"/>
  <c r="BK262" i="1"/>
  <c r="BK267" i="1"/>
  <c r="AP275" i="1"/>
  <c r="AQ275" i="1" s="1"/>
  <c r="AP296" i="1"/>
  <c r="AQ296" i="1" s="1"/>
  <c r="BK308" i="1"/>
  <c r="BK319" i="1"/>
  <c r="AB332" i="1"/>
  <c r="BK345" i="1"/>
  <c r="AB349" i="1"/>
  <c r="BL353" i="1"/>
  <c r="BK360" i="1"/>
  <c r="AP365" i="1"/>
  <c r="AQ365" i="1" s="1"/>
  <c r="AX388" i="1"/>
  <c r="AY388" i="1"/>
  <c r="BK392" i="1"/>
  <c r="BM507" i="1"/>
  <c r="BL507" i="1"/>
  <c r="AC540" i="1"/>
  <c r="AY706" i="1"/>
  <c r="AX706" i="1"/>
  <c r="AB972" i="1"/>
  <c r="AC972" i="1"/>
  <c r="AY38" i="1"/>
  <c r="AP43" i="1"/>
  <c r="AX52" i="1"/>
  <c r="BK53" i="1"/>
  <c r="AP69" i="1"/>
  <c r="AQ69" i="1" s="1"/>
  <c r="AY75" i="1"/>
  <c r="AP85" i="1"/>
  <c r="AQ85" i="1" s="1"/>
  <c r="BK89" i="1"/>
  <c r="BK95" i="1"/>
  <c r="AB112" i="1"/>
  <c r="AC122" i="1"/>
  <c r="AP123" i="1"/>
  <c r="AX124" i="1"/>
  <c r="AP129" i="1"/>
  <c r="BK137" i="1"/>
  <c r="AP148" i="1"/>
  <c r="AQ148" i="1" s="1"/>
  <c r="AX154" i="1"/>
  <c r="AP155" i="1"/>
  <c r="AQ155" i="1" s="1"/>
  <c r="AX161" i="1"/>
  <c r="BL162" i="1"/>
  <c r="BK163" i="1"/>
  <c r="AX174" i="1"/>
  <c r="BK181" i="1"/>
  <c r="BK189" i="1"/>
  <c r="AB191" i="1"/>
  <c r="AP192" i="1"/>
  <c r="AQ192" i="1" s="1"/>
  <c r="BK195" i="1"/>
  <c r="AC212" i="1"/>
  <c r="BK214" i="1"/>
  <c r="BK264" i="1"/>
  <c r="BL285" i="1"/>
  <c r="BK321" i="1"/>
  <c r="AP325" i="1"/>
  <c r="AQ325" i="1" s="1"/>
  <c r="AY326" i="1"/>
  <c r="AC335" i="1"/>
  <c r="AX350" i="1"/>
  <c r="BK371" i="1"/>
  <c r="AX376" i="1"/>
  <c r="AC430" i="1"/>
  <c r="AB430" i="1"/>
  <c r="AY445" i="1"/>
  <c r="AB1033" i="1"/>
  <c r="AC1033" i="1"/>
  <c r="AB1191" i="1"/>
  <c r="AC1191" i="1"/>
  <c r="AA10" i="1"/>
  <c r="AX103" i="1"/>
  <c r="BL126" i="1"/>
  <c r="AX153" i="1"/>
  <c r="AY199" i="1"/>
  <c r="AX224" i="1"/>
  <c r="AX255" i="1"/>
  <c r="BK296" i="1"/>
  <c r="AX305" i="1"/>
  <c r="AP332" i="1"/>
  <c r="AQ332" i="1" s="1"/>
  <c r="BK342" i="1"/>
  <c r="BK353" i="1"/>
  <c r="AB357" i="1"/>
  <c r="AX363" i="1"/>
  <c r="AX364" i="1"/>
  <c r="BK390" i="1"/>
  <c r="AP394" i="1"/>
  <c r="AQ394" i="1" s="1"/>
  <c r="AB399" i="1"/>
  <c r="AC399" i="1"/>
  <c r="AX430" i="1"/>
  <c r="AY430" i="1"/>
  <c r="AC474" i="1"/>
  <c r="AB474" i="1"/>
  <c r="BM492" i="1"/>
  <c r="BL492" i="1"/>
  <c r="AC620" i="1"/>
  <c r="AB620" i="1"/>
  <c r="AC650" i="1"/>
  <c r="AB650" i="1"/>
  <c r="AX943" i="1"/>
  <c r="AY943" i="1"/>
  <c r="AB1161" i="1"/>
  <c r="AC1161" i="1"/>
  <c r="AP37" i="1"/>
  <c r="BL39" i="1"/>
  <c r="AY43" i="1"/>
  <c r="BK44" i="1"/>
  <c r="AC47" i="1"/>
  <c r="BL62" i="1"/>
  <c r="BK63" i="1"/>
  <c r="BL74" i="1"/>
  <c r="AP107" i="1"/>
  <c r="AQ107" i="1" s="1"/>
  <c r="AY114" i="1"/>
  <c r="BL117" i="1"/>
  <c r="BK119" i="1"/>
  <c r="AP122" i="1"/>
  <c r="AQ122" i="1" s="1"/>
  <c r="AX129" i="1"/>
  <c r="BL131" i="1"/>
  <c r="AC140" i="1"/>
  <c r="BK143" i="1"/>
  <c r="AP152" i="1"/>
  <c r="BK188" i="1"/>
  <c r="AX192" i="1"/>
  <c r="BL194" i="1"/>
  <c r="AX198" i="1"/>
  <c r="BK200" i="1"/>
  <c r="BL204" i="1"/>
  <c r="BK205" i="1"/>
  <c r="BL209" i="1"/>
  <c r="AP212" i="1"/>
  <c r="AQ212" i="1" s="1"/>
  <c r="BK247" i="1"/>
  <c r="AP250" i="1"/>
  <c r="AQ250" i="1" s="1"/>
  <c r="AX251" i="1"/>
  <c r="BK257" i="1"/>
  <c r="BL269" i="1"/>
  <c r="BK273" i="1"/>
  <c r="AP282" i="1"/>
  <c r="AQ282" i="1" s="1"/>
  <c r="AY301" i="1"/>
  <c r="BL342" i="1"/>
  <c r="AP348" i="1"/>
  <c r="AQ348" i="1" s="1"/>
  <c r="BK368" i="1"/>
  <c r="AX375" i="1"/>
  <c r="AB1106" i="1"/>
  <c r="AC1106" i="1"/>
  <c r="AX1142" i="1"/>
  <c r="AY1142" i="1"/>
  <c r="AP305" i="1"/>
  <c r="AQ305" i="1" s="1"/>
  <c r="AC414" i="1"/>
  <c r="AB414" i="1"/>
  <c r="AC482" i="1"/>
  <c r="AB482" i="1"/>
  <c r="AC1032" i="1"/>
  <c r="AB1032" i="1"/>
  <c r="AC1184" i="1"/>
  <c r="AB1184" i="1"/>
  <c r="BL104" i="1"/>
  <c r="BL37" i="1"/>
  <c r="AC41" i="1"/>
  <c r="BL51" i="1"/>
  <c r="BK56" i="1"/>
  <c r="AP60" i="1"/>
  <c r="AQ60" i="1" s="1"/>
  <c r="BK93" i="1"/>
  <c r="AP111" i="1"/>
  <c r="AQ111" i="1" s="1"/>
  <c r="BK117" i="1"/>
  <c r="BK124" i="1"/>
  <c r="AB138" i="1"/>
  <c r="AC145" i="1"/>
  <c r="BK153" i="1"/>
  <c r="AP158" i="1"/>
  <c r="AQ158" i="1" s="1"/>
  <c r="AP190" i="1"/>
  <c r="AQ190" i="1" s="1"/>
  <c r="AB196" i="1"/>
  <c r="AP197" i="1"/>
  <c r="AQ197" i="1" s="1"/>
  <c r="BK199" i="1"/>
  <c r="AC222" i="1"/>
  <c r="AC237" i="1"/>
  <c r="BK252" i="1"/>
  <c r="AB262" i="1"/>
  <c r="AP265" i="1"/>
  <c r="AQ265" i="1" s="1"/>
  <c r="BK269" i="1"/>
  <c r="BK284" i="1"/>
  <c r="AC318" i="1"/>
  <c r="AB354" i="1"/>
  <c r="BL375" i="1"/>
  <c r="BL383" i="1"/>
  <c r="BL387" i="1"/>
  <c r="AC463" i="1"/>
  <c r="AB463" i="1"/>
  <c r="AX524" i="1"/>
  <c r="AY524" i="1"/>
  <c r="AX551" i="1"/>
  <c r="AY551" i="1"/>
  <c r="AY727" i="1"/>
  <c r="AX727" i="1"/>
  <c r="BL42" i="1"/>
  <c r="AB64" i="1"/>
  <c r="BL67" i="1"/>
  <c r="AC89" i="1"/>
  <c r="BL128" i="1"/>
  <c r="AX134" i="1"/>
  <c r="AY139" i="1"/>
  <c r="AP184" i="1"/>
  <c r="AQ184" i="1" s="1"/>
  <c r="AB188" i="1"/>
  <c r="BK192" i="1"/>
  <c r="AX202" i="1"/>
  <c r="AP207" i="1"/>
  <c r="AQ207" i="1" s="1"/>
  <c r="AB230" i="1"/>
  <c r="AX249" i="1"/>
  <c r="AC307" i="1"/>
  <c r="BK310" i="1"/>
  <c r="AC352" i="1"/>
  <c r="AP367" i="1"/>
  <c r="AQ367" i="1" s="1"/>
  <c r="AB1023" i="1"/>
  <c r="AC1023" i="1"/>
  <c r="AC1123" i="1"/>
  <c r="AB1123" i="1"/>
  <c r="BL66" i="1"/>
  <c r="BK67" i="1"/>
  <c r="BL97" i="1"/>
  <c r="BK107" i="1"/>
  <c r="AP133" i="1"/>
  <c r="AQ133" i="1" s="1"/>
  <c r="BK146" i="1"/>
  <c r="AP168" i="1"/>
  <c r="AQ168" i="1" s="1"/>
  <c r="AX171" i="1"/>
  <c r="BK191" i="1"/>
  <c r="BK203" i="1"/>
  <c r="BL217" i="1"/>
  <c r="AC220" i="1"/>
  <c r="AP222" i="1"/>
  <c r="AC257" i="1"/>
  <c r="BL267" i="1"/>
  <c r="BK271" i="1"/>
  <c r="BK281" i="1"/>
  <c r="AC284" i="1"/>
  <c r="AC296" i="1"/>
  <c r="BL301" i="1"/>
  <c r="BM302" i="1"/>
  <c r="AY322" i="1"/>
  <c r="BL323" i="1"/>
  <c r="AC341" i="1"/>
  <c r="AP342" i="1"/>
  <c r="AQ342" i="1" s="1"/>
  <c r="BK346" i="1"/>
  <c r="BL347" i="1"/>
  <c r="AB452" i="1"/>
  <c r="AC452" i="1"/>
  <c r="BM484" i="1"/>
  <c r="BL484" i="1"/>
  <c r="AY674" i="1"/>
  <c r="AX674" i="1"/>
  <c r="AY726" i="1"/>
  <c r="AX726" i="1"/>
  <c r="BL1171" i="1"/>
  <c r="BM1171" i="1"/>
  <c r="BK47" i="1"/>
  <c r="AP64" i="1"/>
  <c r="AQ64" i="1" s="1"/>
  <c r="BK158" i="1"/>
  <c r="BK177" i="1"/>
  <c r="BK190" i="1"/>
  <c r="AP209" i="1"/>
  <c r="AQ209" i="1" s="1"/>
  <c r="BK211" i="1"/>
  <c r="BK265" i="1"/>
  <c r="AP291" i="1"/>
  <c r="AQ291" i="1" s="1"/>
  <c r="AP353" i="1"/>
  <c r="AQ353" i="1" s="1"/>
  <c r="AP390" i="1"/>
  <c r="AY492" i="1"/>
  <c r="AX492" i="1"/>
  <c r="AP427" i="1"/>
  <c r="AP445" i="1"/>
  <c r="AQ445" i="1" s="1"/>
  <c r="BK450" i="1"/>
  <c r="BK474" i="1"/>
  <c r="AP507" i="1"/>
  <c r="AQ507" i="1" s="1"/>
  <c r="AX536" i="1"/>
  <c r="BL566" i="1"/>
  <c r="BK581" i="1"/>
  <c r="BK588" i="1"/>
  <c r="BL602" i="1"/>
  <c r="BK605" i="1"/>
  <c r="AP608" i="1"/>
  <c r="AQ608" i="1" s="1"/>
  <c r="BK625" i="1"/>
  <c r="BK665" i="1"/>
  <c r="BK709" i="1"/>
  <c r="AP717" i="1"/>
  <c r="AQ717" i="1" s="1"/>
  <c r="BK724" i="1"/>
  <c r="AC760" i="1"/>
  <c r="BK788" i="1"/>
  <c r="AX865" i="1"/>
  <c r="AX894" i="1"/>
  <c r="BL907" i="1"/>
  <c r="BK914" i="1"/>
  <c r="BL915" i="1"/>
  <c r="BK925" i="1"/>
  <c r="BL974" i="1"/>
  <c r="AX1037" i="1"/>
  <c r="AX1091" i="1"/>
  <c r="AX1109" i="1"/>
  <c r="AX1196" i="1"/>
  <c r="BK1217" i="1"/>
  <c r="AP1225" i="1"/>
  <c r="AQ1225" i="1" s="1"/>
  <c r="BL1232" i="1"/>
  <c r="AP1237" i="1"/>
  <c r="AP1251" i="1"/>
  <c r="BL1264" i="1"/>
  <c r="AP746" i="1"/>
  <c r="BK756" i="1"/>
  <c r="BL768" i="1"/>
  <c r="AP792" i="1"/>
  <c r="AQ792" i="1" s="1"/>
  <c r="BK803" i="1"/>
  <c r="AY882" i="1"/>
  <c r="AX883" i="1"/>
  <c r="AP892" i="1"/>
  <c r="AQ892" i="1" s="1"/>
  <c r="BM902" i="1"/>
  <c r="AB904" i="1"/>
  <c r="AP905" i="1"/>
  <c r="BK907" i="1"/>
  <c r="BK908" i="1"/>
  <c r="AP942" i="1"/>
  <c r="AQ942" i="1" s="1"/>
  <c r="AB948" i="1"/>
  <c r="AX964" i="1"/>
  <c r="AC971" i="1"/>
  <c r="AY979" i="1"/>
  <c r="AP984" i="1"/>
  <c r="AQ984" i="1" s="1"/>
  <c r="BL999" i="1"/>
  <c r="AC1014" i="1"/>
  <c r="AC1017" i="1"/>
  <c r="BL1071" i="1"/>
  <c r="BL1072" i="1"/>
  <c r="BL1092" i="1"/>
  <c r="BL1125" i="1"/>
  <c r="AP1133" i="1"/>
  <c r="AQ1133" i="1" s="1"/>
  <c r="AP1142" i="1"/>
  <c r="AQ1142" i="1" s="1"/>
  <c r="BL1271" i="1"/>
  <c r="BL414" i="1"/>
  <c r="AP444" i="1"/>
  <c r="AQ444" i="1" s="1"/>
  <c r="AY447" i="1"/>
  <c r="BL502" i="1"/>
  <c r="BL597" i="1"/>
  <c r="AP669" i="1"/>
  <c r="AQ669" i="1" s="1"/>
  <c r="BK723" i="1"/>
  <c r="BL738" i="1"/>
  <c r="AC744" i="1"/>
  <c r="AP745" i="1"/>
  <c r="AQ745" i="1" s="1"/>
  <c r="BK747" i="1"/>
  <c r="BK750" i="1"/>
  <c r="AC752" i="1"/>
  <c r="BK779" i="1"/>
  <c r="AP809" i="1"/>
  <c r="AQ809" i="1" s="1"/>
  <c r="BK813" i="1"/>
  <c r="BK819" i="1"/>
  <c r="AP875" i="1"/>
  <c r="AQ875" i="1" s="1"/>
  <c r="BK890" i="1"/>
  <c r="BK895" i="1"/>
  <c r="BL935" i="1"/>
  <c r="BK957" i="1"/>
  <c r="AY963" i="1"/>
  <c r="AB976" i="1"/>
  <c r="BK993" i="1"/>
  <c r="AP997" i="1"/>
  <c r="AQ997" i="1" s="1"/>
  <c r="BK1005" i="1"/>
  <c r="BK1006" i="1"/>
  <c r="BK1039" i="1"/>
  <c r="BL1047" i="1"/>
  <c r="BK1052" i="1"/>
  <c r="BK1078" i="1"/>
  <c r="BK1086" i="1"/>
  <c r="AP1089" i="1"/>
  <c r="AQ1089" i="1" s="1"/>
  <c r="BL1091" i="1"/>
  <c r="AY1103" i="1"/>
  <c r="BK1116" i="1"/>
  <c r="AX1118" i="1"/>
  <c r="BK1154" i="1"/>
  <c r="BK1171" i="1"/>
  <c r="BK1211" i="1"/>
  <c r="BK1221" i="1"/>
  <c r="BK1226" i="1"/>
  <c r="BK401" i="1"/>
  <c r="AB405" i="1"/>
  <c r="BK412" i="1"/>
  <c r="BK418" i="1"/>
  <c r="AP425" i="1"/>
  <c r="AQ425" i="1" s="1"/>
  <c r="AP429" i="1"/>
  <c r="AQ429" i="1" s="1"/>
  <c r="AB453" i="1"/>
  <c r="AC469" i="1"/>
  <c r="AC470" i="1"/>
  <c r="AP471" i="1"/>
  <c r="BK521" i="1"/>
  <c r="AP550" i="1"/>
  <c r="BK552" i="1"/>
  <c r="AY556" i="1"/>
  <c r="AP604" i="1"/>
  <c r="AQ604" i="1" s="1"/>
  <c r="BK609" i="1"/>
  <c r="BL623" i="1"/>
  <c r="BL641" i="1"/>
  <c r="AP680" i="1"/>
  <c r="AQ680" i="1" s="1"/>
  <c r="BK714" i="1"/>
  <c r="AP765" i="1"/>
  <c r="AQ765" i="1" s="1"/>
  <c r="BK812" i="1"/>
  <c r="BK985" i="1"/>
  <c r="AP1032" i="1"/>
  <c r="AQ1032" i="1" s="1"/>
  <c r="BK1036" i="1"/>
  <c r="BK1063" i="1"/>
  <c r="AP770" i="1"/>
  <c r="AQ770" i="1" s="1"/>
  <c r="AB788" i="1"/>
  <c r="AP805" i="1"/>
  <c r="BL810" i="1"/>
  <c r="BK811" i="1"/>
  <c r="BL816" i="1"/>
  <c r="AP825" i="1"/>
  <c r="AQ825" i="1" s="1"/>
  <c r="BK829" i="1"/>
  <c r="BL853" i="1"/>
  <c r="BK859" i="1"/>
  <c r="AP862" i="1"/>
  <c r="AQ862" i="1" s="1"/>
  <c r="BK883" i="1"/>
  <c r="BK893" i="1"/>
  <c r="AP922" i="1"/>
  <c r="AQ922" i="1" s="1"/>
  <c r="AP971" i="1"/>
  <c r="AQ971" i="1" s="1"/>
  <c r="AP989" i="1"/>
  <c r="AQ989" i="1" s="1"/>
  <c r="AP1059" i="1"/>
  <c r="AQ1059" i="1" s="1"/>
  <c r="BK1062" i="1"/>
  <c r="BL1102" i="1"/>
  <c r="BK1153" i="1"/>
  <c r="AP1179" i="1"/>
  <c r="BK1192" i="1"/>
  <c r="BK1196" i="1"/>
  <c r="BK1220" i="1"/>
  <c r="BL1236" i="1"/>
  <c r="BK1254" i="1"/>
  <c r="AB1265" i="1"/>
  <c r="BK1270" i="1"/>
  <c r="BK431" i="1"/>
  <c r="BK440" i="1"/>
  <c r="BL444" i="1"/>
  <c r="AP453" i="1"/>
  <c r="AQ453" i="1" s="1"/>
  <c r="AP463" i="1"/>
  <c r="BK501" i="1"/>
  <c r="BL530" i="1"/>
  <c r="AP534" i="1"/>
  <c r="AQ534" i="1" s="1"/>
  <c r="BK541" i="1"/>
  <c r="AP570" i="1"/>
  <c r="AQ570" i="1" s="1"/>
  <c r="AB630" i="1"/>
  <c r="AC631" i="1"/>
  <c r="AC655" i="1"/>
  <c r="BK662" i="1"/>
  <c r="AX673" i="1"/>
  <c r="BL700" i="1"/>
  <c r="AB731" i="1"/>
  <c r="AC735" i="1"/>
  <c r="AB756" i="1"/>
  <c r="AP403" i="1"/>
  <c r="AQ403" i="1" s="1"/>
  <c r="BK417" i="1"/>
  <c r="BL443" i="1"/>
  <c r="BK444" i="1"/>
  <c r="BK455" i="1"/>
  <c r="BK458" i="1"/>
  <c r="AP487" i="1"/>
  <c r="AQ487" i="1" s="1"/>
  <c r="AP499" i="1"/>
  <c r="AQ499" i="1" s="1"/>
  <c r="AX518" i="1"/>
  <c r="BK526" i="1"/>
  <c r="BK530" i="1"/>
  <c r="BK556" i="1"/>
  <c r="BK612" i="1"/>
  <c r="BK658" i="1"/>
  <c r="BK661" i="1"/>
  <c r="BK685" i="1"/>
  <c r="AB693" i="1"/>
  <c r="AP704" i="1"/>
  <c r="AQ704" i="1" s="1"/>
  <c r="AX711" i="1"/>
  <c r="BK716" i="1"/>
  <c r="BK727" i="1"/>
  <c r="BK732" i="1"/>
  <c r="AP763" i="1"/>
  <c r="BK783" i="1"/>
  <c r="BL825" i="1"/>
  <c r="BK853" i="1"/>
  <c r="AP858" i="1"/>
  <c r="AQ858" i="1" s="1"/>
  <c r="AP877" i="1"/>
  <c r="AQ877" i="1" s="1"/>
  <c r="BL887" i="1"/>
  <c r="AP897" i="1"/>
  <c r="AQ897" i="1" s="1"/>
  <c r="BK917" i="1"/>
  <c r="AC920" i="1"/>
  <c r="BL927" i="1"/>
  <c r="BK961" i="1"/>
  <c r="AC967" i="1"/>
  <c r="AB1004" i="1"/>
  <c r="BL1032" i="1"/>
  <c r="BK1033" i="1"/>
  <c r="BK1034" i="1"/>
  <c r="AC1049" i="1"/>
  <c r="BK1060" i="1"/>
  <c r="AX1066" i="1"/>
  <c r="BK1076" i="1"/>
  <c r="AC1082" i="1"/>
  <c r="BK1089" i="1"/>
  <c r="AY1095" i="1"/>
  <c r="AY1140" i="1"/>
  <c r="AC1162" i="1"/>
  <c r="AP1163" i="1"/>
  <c r="AQ1163" i="1" s="1"/>
  <c r="BL1183" i="1"/>
  <c r="BK1207" i="1"/>
  <c r="BK1219" i="1"/>
  <c r="BK1236" i="1"/>
  <c r="AX548" i="1"/>
  <c r="AX690" i="1"/>
  <c r="AX741" i="1"/>
  <c r="AP380" i="1"/>
  <c r="AQ380" i="1" s="1"/>
  <c r="BK397" i="1"/>
  <c r="BL407" i="1"/>
  <c r="BL421" i="1"/>
  <c r="AP433" i="1"/>
  <c r="AQ433" i="1" s="1"/>
  <c r="BK505" i="1"/>
  <c r="BK539" i="1"/>
  <c r="AP553" i="1"/>
  <c r="AQ553" i="1" s="1"/>
  <c r="AP558" i="1"/>
  <c r="AQ558" i="1" s="1"/>
  <c r="BK584" i="1"/>
  <c r="BL607" i="1"/>
  <c r="AP630" i="1"/>
  <c r="AQ630" i="1" s="1"/>
  <c r="AB636" i="1"/>
  <c r="BL667" i="1"/>
  <c r="BL720" i="1"/>
  <c r="AP755" i="1"/>
  <c r="AQ755" i="1" s="1"/>
  <c r="BK759" i="1"/>
  <c r="BK760" i="1"/>
  <c r="AY763" i="1"/>
  <c r="BK791" i="1"/>
  <c r="AB812" i="1"/>
  <c r="BL827" i="1"/>
  <c r="BK847" i="1"/>
  <c r="BM853" i="1"/>
  <c r="BK862" i="1"/>
  <c r="BK868" i="1"/>
  <c r="AX876" i="1"/>
  <c r="BK880" i="1"/>
  <c r="AB883" i="1"/>
  <c r="AB884" i="1"/>
  <c r="AX897" i="1"/>
  <c r="BK899" i="1"/>
  <c r="AP902" i="1"/>
  <c r="AQ902" i="1" s="1"/>
  <c r="BK904" i="1"/>
  <c r="BK927" i="1"/>
  <c r="AP930" i="1"/>
  <c r="AQ930" i="1" s="1"/>
  <c r="AC935" i="1"/>
  <c r="AB936" i="1"/>
  <c r="AB950" i="1"/>
  <c r="BK971" i="1"/>
  <c r="AP994" i="1"/>
  <c r="AQ994" i="1" s="1"/>
  <c r="AP999" i="1"/>
  <c r="AQ999" i="1" s="1"/>
  <c r="AP1004" i="1"/>
  <c r="AQ1004" i="1" s="1"/>
  <c r="AB1036" i="1"/>
  <c r="AP1049" i="1"/>
  <c r="AQ1049" i="1" s="1"/>
  <c r="AP1057" i="1"/>
  <c r="AQ1057" i="1" s="1"/>
  <c r="BL1074" i="1"/>
  <c r="AC1078" i="1"/>
  <c r="AP1086" i="1"/>
  <c r="AQ1086" i="1" s="1"/>
  <c r="BK1088" i="1"/>
  <c r="BL1095" i="1"/>
  <c r="BL1100" i="1"/>
  <c r="AP1150" i="1"/>
  <c r="AQ1150" i="1" s="1"/>
  <c r="BK1184" i="1"/>
  <c r="BK1189" i="1"/>
  <c r="AP1217" i="1"/>
  <c r="AQ1217" i="1" s="1"/>
  <c r="BK1228" i="1"/>
  <c r="AP1233" i="1"/>
  <c r="BL1249" i="1"/>
  <c r="AP1256" i="1"/>
  <c r="AQ1256" i="1" s="1"/>
  <c r="AP1267" i="1"/>
  <c r="AQ1267" i="1" s="1"/>
  <c r="BK1268" i="1"/>
  <c r="AP432" i="1"/>
  <c r="AQ432" i="1" s="1"/>
  <c r="BK452" i="1"/>
  <c r="BK461" i="1"/>
  <c r="AX467" i="1"/>
  <c r="AP490" i="1"/>
  <c r="AQ490" i="1" s="1"/>
  <c r="AP502" i="1"/>
  <c r="AQ502" i="1" s="1"/>
  <c r="BL517" i="1"/>
  <c r="AP542" i="1"/>
  <c r="AQ542" i="1" s="1"/>
  <c r="BK549" i="1"/>
  <c r="BL564" i="1"/>
  <c r="AX568" i="1"/>
  <c r="BK583" i="1"/>
  <c r="AB586" i="1"/>
  <c r="AP597" i="1"/>
  <c r="AQ597" i="1" s="1"/>
  <c r="BL605" i="1"/>
  <c r="AB615" i="1"/>
  <c r="BK619" i="1"/>
  <c r="BK672" i="1"/>
  <c r="AB700" i="1"/>
  <c r="BK704" i="1"/>
  <c r="BK710" i="1"/>
  <c r="BK720" i="1"/>
  <c r="BK725" i="1"/>
  <c r="AP733" i="1"/>
  <c r="AQ733" i="1" s="1"/>
  <c r="BK736" i="1"/>
  <c r="BK743" i="1"/>
  <c r="AY750" i="1"/>
  <c r="AP778" i="1"/>
  <c r="AQ778" i="1" s="1"/>
  <c r="AC817" i="1"/>
  <c r="AP860" i="1"/>
  <c r="AQ860" i="1" s="1"/>
  <c r="BL877" i="1"/>
  <c r="AP882" i="1"/>
  <c r="AQ882" i="1" s="1"/>
  <c r="AP884" i="1"/>
  <c r="AQ884" i="1" s="1"/>
  <c r="AB893" i="1"/>
  <c r="BK898" i="1"/>
  <c r="BL908" i="1"/>
  <c r="BK909" i="1"/>
  <c r="AP929" i="1"/>
  <c r="AQ929" i="1" s="1"/>
  <c r="AC943" i="1"/>
  <c r="BK982" i="1"/>
  <c r="AP985" i="1"/>
  <c r="AY1006" i="1"/>
  <c r="BL1009" i="1"/>
  <c r="BK1016" i="1"/>
  <c r="AB1054" i="1"/>
  <c r="AB1107" i="1"/>
  <c r="BK1121" i="1"/>
  <c r="BK1131" i="1"/>
  <c r="BK1157" i="1"/>
  <c r="BK1163" i="1"/>
  <c r="BK1182" i="1"/>
  <c r="BL1203" i="1"/>
  <c r="BK1218" i="1"/>
  <c r="BL1245" i="1"/>
  <c r="BK1265" i="1"/>
  <c r="BK66" i="1"/>
  <c r="AX74" i="1"/>
  <c r="BM146" i="1"/>
  <c r="BL146" i="1"/>
  <c r="AY151" i="1"/>
  <c r="AX151" i="1"/>
  <c r="AP186" i="1"/>
  <c r="AQ186" i="1" s="1"/>
  <c r="AC233" i="1"/>
  <c r="AY234" i="1"/>
  <c r="AX234" i="1"/>
  <c r="BK333" i="1"/>
  <c r="AC359" i="1"/>
  <c r="AX584" i="1"/>
  <c r="AY584" i="1"/>
  <c r="AY650" i="1"/>
  <c r="AX650" i="1"/>
  <c r="BK55" i="1"/>
  <c r="AB60" i="1"/>
  <c r="BL63" i="1"/>
  <c r="BK64" i="1"/>
  <c r="AX72" i="1"/>
  <c r="BK86" i="1"/>
  <c r="BK92" i="1"/>
  <c r="BL118" i="1"/>
  <c r="AY272" i="1"/>
  <c r="AX272" i="1"/>
  <c r="BM286" i="1"/>
  <c r="BL286" i="1"/>
  <c r="AY312" i="1"/>
  <c r="AX312" i="1"/>
  <c r="AB358" i="1"/>
  <c r="AC358" i="1"/>
  <c r="BK375" i="1"/>
  <c r="BK531" i="1"/>
  <c r="BK535" i="1"/>
  <c r="BL640" i="1"/>
  <c r="BM640" i="1"/>
  <c r="BM115" i="1"/>
  <c r="BL115" i="1"/>
  <c r="AC301" i="1"/>
  <c r="AB301" i="1"/>
  <c r="Y17" i="1"/>
  <c r="AC32" i="1"/>
  <c r="AP70" i="1"/>
  <c r="AQ70" i="1" s="1"/>
  <c r="AY89" i="1"/>
  <c r="AB100" i="1"/>
  <c r="AC100" i="1"/>
  <c r="AY168" i="1"/>
  <c r="AX168" i="1"/>
  <c r="BK193" i="1"/>
  <c r="AY211" i="1"/>
  <c r="AX211" i="1"/>
  <c r="BK219" i="1"/>
  <c r="BK220" i="1"/>
  <c r="AB271" i="1"/>
  <c r="AP272" i="1"/>
  <c r="AQ272" i="1" s="1"/>
  <c r="AQ46" i="1"/>
  <c r="BK49" i="1"/>
  <c r="AP59" i="1"/>
  <c r="AQ59" i="1" s="1"/>
  <c r="AP79" i="1"/>
  <c r="AQ79" i="1" s="1"/>
  <c r="BM114" i="1"/>
  <c r="BL114" i="1"/>
  <c r="BK115" i="1"/>
  <c r="BK138" i="1"/>
  <c r="AX282" i="1"/>
  <c r="AY282" i="1"/>
  <c r="AX311" i="1"/>
  <c r="AY311" i="1"/>
  <c r="BM317" i="1"/>
  <c r="BL317" i="1"/>
  <c r="BM433" i="1"/>
  <c r="BL433" i="1"/>
  <c r="AY503" i="1"/>
  <c r="AX503" i="1"/>
  <c r="AX704" i="1"/>
  <c r="AY704" i="1"/>
  <c r="AY909" i="1"/>
  <c r="AX909" i="1"/>
  <c r="AX33" i="1"/>
  <c r="AY106" i="1"/>
  <c r="AX106" i="1"/>
  <c r="AP239" i="1"/>
  <c r="AQ239" i="1" s="1"/>
  <c r="BK242" i="1"/>
  <c r="AX267" i="1"/>
  <c r="AY267" i="1"/>
  <c r="BM354" i="1"/>
  <c r="BL354" i="1"/>
  <c r="AX392" i="1"/>
  <c r="AY392" i="1"/>
  <c r="AX490" i="1"/>
  <c r="AY490" i="1"/>
  <c r="AY502" i="1"/>
  <c r="AX502" i="1"/>
  <c r="AB703" i="1"/>
  <c r="AC703" i="1"/>
  <c r="BM899" i="1"/>
  <c r="BL899" i="1"/>
  <c r="AB975" i="1"/>
  <c r="AB232" i="1"/>
  <c r="AC232" i="1"/>
  <c r="AY394" i="1"/>
  <c r="AX394" i="1"/>
  <c r="AB537" i="1"/>
  <c r="AC537" i="1"/>
  <c r="BK34" i="1"/>
  <c r="BK40" i="1"/>
  <c r="AX46" i="1"/>
  <c r="BK61" i="1"/>
  <c r="AC66" i="1"/>
  <c r="AY84" i="1"/>
  <c r="AX101" i="1"/>
  <c r="AB105" i="1"/>
  <c r="AC105" i="1"/>
  <c r="BM136" i="1"/>
  <c r="BL136" i="1"/>
  <c r="AX183" i="1"/>
  <c r="AY183" i="1"/>
  <c r="AC258" i="1"/>
  <c r="AB258" i="1"/>
  <c r="AC310" i="1"/>
  <c r="AB310" i="1"/>
  <c r="BM352" i="1"/>
  <c r="BL352" i="1"/>
  <c r="AP368" i="1"/>
  <c r="AQ368" i="1" s="1"/>
  <c r="BL419" i="1"/>
  <c r="BM432" i="1"/>
  <c r="BL432" i="1"/>
  <c r="AC609" i="1"/>
  <c r="AB609" i="1"/>
  <c r="BK680" i="1"/>
  <c r="AY820" i="1"/>
  <c r="AX820" i="1"/>
  <c r="AC866" i="1"/>
  <c r="AB866" i="1"/>
  <c r="BK39" i="1"/>
  <c r="BM53" i="1"/>
  <c r="AP65" i="1"/>
  <c r="BM121" i="1"/>
  <c r="BL121" i="1"/>
  <c r="BK122" i="1"/>
  <c r="AB206" i="1"/>
  <c r="AP281" i="1"/>
  <c r="AQ281" i="1" s="1"/>
  <c r="BL295" i="1"/>
  <c r="BM316" i="1"/>
  <c r="BL316" i="1"/>
  <c r="AC330" i="1"/>
  <c r="AB330" i="1"/>
  <c r="BL789" i="1"/>
  <c r="BM789" i="1"/>
  <c r="BL34" i="1"/>
  <c r="BL56" i="1"/>
  <c r="AX57" i="1"/>
  <c r="BK58" i="1"/>
  <c r="BK59" i="1"/>
  <c r="BL94" i="1"/>
  <c r="BM265" i="1"/>
  <c r="BL265" i="1"/>
  <c r="AX348" i="1"/>
  <c r="AY348" i="1"/>
  <c r="AB428" i="1"/>
  <c r="AC428" i="1"/>
  <c r="AC457" i="1"/>
  <c r="AC42" i="1"/>
  <c r="BM95" i="1"/>
  <c r="BM110" i="1"/>
  <c r="BL110" i="1"/>
  <c r="AP134" i="1"/>
  <c r="AQ134" i="1" s="1"/>
  <c r="AP173" i="1"/>
  <c r="AQ173" i="1" s="1"/>
  <c r="AB178" i="1"/>
  <c r="BK305" i="1"/>
  <c r="BK326" i="1"/>
  <c r="AC329" i="1"/>
  <c r="AY407" i="1"/>
  <c r="AX407" i="1"/>
  <c r="BK666" i="1"/>
  <c r="AC754" i="1"/>
  <c r="AB754" i="1"/>
  <c r="BK32" i="1"/>
  <c r="AP36" i="1"/>
  <c r="AQ36" i="1" s="1"/>
  <c r="BL58" i="1"/>
  <c r="BL59" i="1"/>
  <c r="AB62" i="1"/>
  <c r="BL93" i="1"/>
  <c r="BM93" i="1"/>
  <c r="AY213" i="1"/>
  <c r="AX213" i="1"/>
  <c r="AY235" i="1"/>
  <c r="AX235" i="1"/>
  <c r="AX253" i="1"/>
  <c r="AY253" i="1"/>
  <c r="AP276" i="1"/>
  <c r="AQ276" i="1" s="1"/>
  <c r="AY313" i="1"/>
  <c r="AX313" i="1"/>
  <c r="BM364" i="1"/>
  <c r="BL364" i="1"/>
  <c r="AB403" i="1"/>
  <c r="AX453" i="1"/>
  <c r="AY453" i="1"/>
  <c r="BL455" i="1"/>
  <c r="BM455" i="1"/>
  <c r="AP662" i="1"/>
  <c r="AQ662" i="1" s="1"/>
  <c r="BK37" i="1"/>
  <c r="AB53" i="1"/>
  <c r="BL64" i="1"/>
  <c r="AB82" i="1"/>
  <c r="AC82" i="1"/>
  <c r="BL86" i="1"/>
  <c r="BK94" i="1"/>
  <c r="AX108" i="1"/>
  <c r="AY108" i="1"/>
  <c r="BK147" i="1"/>
  <c r="AB151" i="1"/>
  <c r="BL187" i="1"/>
  <c r="BM187" i="1"/>
  <c r="BK302" i="1"/>
  <c r="BK303" i="1"/>
  <c r="BM314" i="1"/>
  <c r="BL314" i="1"/>
  <c r="AX360" i="1"/>
  <c r="AY360" i="1"/>
  <c r="BK446" i="1"/>
  <c r="BK78" i="1"/>
  <c r="AP102" i="1"/>
  <c r="AQ102" i="1" s="1"/>
  <c r="BL107" i="1"/>
  <c r="BL123" i="1"/>
  <c r="AC129" i="1"/>
  <c r="BL140" i="1"/>
  <c r="AC157" i="1"/>
  <c r="BL159" i="1"/>
  <c r="BK160" i="1"/>
  <c r="BK161" i="1"/>
  <c r="BK167" i="1"/>
  <c r="AP175" i="1"/>
  <c r="AQ175" i="1" s="1"/>
  <c r="AC181" i="1"/>
  <c r="AY219" i="1"/>
  <c r="AX221" i="1"/>
  <c r="BL228" i="1"/>
  <c r="BK232" i="1"/>
  <c r="AB238" i="1"/>
  <c r="AP240" i="1"/>
  <c r="AQ240" i="1" s="1"/>
  <c r="AB244" i="1"/>
  <c r="AC247" i="1"/>
  <c r="BM267" i="1"/>
  <c r="BK270" i="1"/>
  <c r="AB273" i="1"/>
  <c r="AY306" i="1"/>
  <c r="BK311" i="1"/>
  <c r="AX325" i="1"/>
  <c r="AC355" i="1"/>
  <c r="BK358" i="1"/>
  <c r="AB365" i="1"/>
  <c r="AX373" i="1"/>
  <c r="BL393" i="1"/>
  <c r="AY418" i="1"/>
  <c r="AX418" i="1"/>
  <c r="AB432" i="1"/>
  <c r="BL441" i="1"/>
  <c r="AX459" i="1"/>
  <c r="AY459" i="1"/>
  <c r="BK469" i="1"/>
  <c r="BL475" i="1"/>
  <c r="AQ494" i="1"/>
  <c r="BK495" i="1"/>
  <c r="AB498" i="1"/>
  <c r="AC498" i="1"/>
  <c r="BM588" i="1"/>
  <c r="BL588" i="1"/>
  <c r="AC597" i="1"/>
  <c r="AX598" i="1"/>
  <c r="AY598" i="1"/>
  <c r="BK607" i="1"/>
  <c r="AB610" i="1"/>
  <c r="AB626" i="1"/>
  <c r="AC626" i="1"/>
  <c r="AC705" i="1"/>
  <c r="BK767" i="1"/>
  <c r="AP793" i="1"/>
  <c r="AQ793" i="1" s="1"/>
  <c r="AC846" i="1"/>
  <c r="AB846" i="1"/>
  <c r="BK104" i="1"/>
  <c r="AP113" i="1"/>
  <c r="AQ113" i="1" s="1"/>
  <c r="AB133" i="1"/>
  <c r="AX136" i="1"/>
  <c r="BL137" i="1"/>
  <c r="AX146" i="1"/>
  <c r="BL147" i="1"/>
  <c r="BL192" i="1"/>
  <c r="BK224" i="1"/>
  <c r="BK251" i="1"/>
  <c r="AY286" i="1"/>
  <c r="BL288" i="1"/>
  <c r="BL296" i="1"/>
  <c r="AC315" i="1"/>
  <c r="AP317" i="1"/>
  <c r="AQ317" i="1" s="1"/>
  <c r="BK328" i="1"/>
  <c r="BL329" i="1"/>
  <c r="AP335" i="1"/>
  <c r="AQ335" i="1" s="1"/>
  <c r="AP336" i="1"/>
  <c r="AQ336" i="1" s="1"/>
  <c r="AB347" i="1"/>
  <c r="AC351" i="1"/>
  <c r="AP354" i="1"/>
  <c r="AQ354" i="1" s="1"/>
  <c r="BK378" i="1"/>
  <c r="BL379" i="1"/>
  <c r="AC423" i="1"/>
  <c r="AQ427" i="1"/>
  <c r="AB431" i="1"/>
  <c r="AC431" i="1"/>
  <c r="BK468" i="1"/>
  <c r="AX472" i="1"/>
  <c r="AY472" i="1"/>
  <c r="BM474" i="1"/>
  <c r="BL474" i="1"/>
  <c r="AC497" i="1"/>
  <c r="AB497" i="1"/>
  <c r="AX539" i="1"/>
  <c r="AY539" i="1"/>
  <c r="AY544" i="1"/>
  <c r="AX544" i="1"/>
  <c r="BK566" i="1"/>
  <c r="AB596" i="1"/>
  <c r="AY651" i="1"/>
  <c r="AX651" i="1"/>
  <c r="AY662" i="1"/>
  <c r="AX662" i="1"/>
  <c r="BK669" i="1"/>
  <c r="AP679" i="1"/>
  <c r="AQ679" i="1" s="1"/>
  <c r="BL752" i="1"/>
  <c r="BL776" i="1"/>
  <c r="BK912" i="1"/>
  <c r="BM928" i="1"/>
  <c r="BL928" i="1"/>
  <c r="BM728" i="1"/>
  <c r="BL728" i="1"/>
  <c r="AY786" i="1"/>
  <c r="AX786" i="1"/>
  <c r="BK854" i="1"/>
  <c r="BL157" i="1"/>
  <c r="AX185" i="1"/>
  <c r="BK226" i="1"/>
  <c r="BK248" i="1"/>
  <c r="BK292" i="1"/>
  <c r="AP312" i="1"/>
  <c r="AQ312" i="1" s="1"/>
  <c r="AP346" i="1"/>
  <c r="AQ346" i="1" s="1"/>
  <c r="BL355" i="1"/>
  <c r="BK373" i="1"/>
  <c r="BK374" i="1"/>
  <c r="BM396" i="1"/>
  <c r="BL396" i="1"/>
  <c r="AY489" i="1"/>
  <c r="AX489" i="1"/>
  <c r="AY553" i="1"/>
  <c r="AX553" i="1"/>
  <c r="AX648" i="1"/>
  <c r="AY648" i="1"/>
  <c r="AP726" i="1"/>
  <c r="AQ726" i="1" s="1"/>
  <c r="AY737" i="1"/>
  <c r="AX737" i="1"/>
  <c r="AX818" i="1"/>
  <c r="AY818" i="1"/>
  <c r="BL879" i="1"/>
  <c r="AY920" i="1"/>
  <c r="AX920" i="1"/>
  <c r="BM1141" i="1"/>
  <c r="BL1141" i="1"/>
  <c r="BM1147" i="1"/>
  <c r="BL1147" i="1"/>
  <c r="AX1213" i="1"/>
  <c r="AY1213" i="1"/>
  <c r="AY1234" i="1"/>
  <c r="AX1234" i="1"/>
  <c r="AP78" i="1"/>
  <c r="AP84" i="1"/>
  <c r="AB87" i="1"/>
  <c r="BK91" i="1"/>
  <c r="BL99" i="1"/>
  <c r="AP106" i="1"/>
  <c r="AQ106" i="1" s="1"/>
  <c r="BK111" i="1"/>
  <c r="BK113" i="1"/>
  <c r="BK118" i="1"/>
  <c r="BL133" i="1"/>
  <c r="BK135" i="1"/>
  <c r="BK145" i="1"/>
  <c r="AG169" i="1"/>
  <c r="AY169" i="1" s="1"/>
  <c r="BK187" i="1"/>
  <c r="BK197" i="1"/>
  <c r="AC208" i="1"/>
  <c r="AB223" i="1"/>
  <c r="AB224" i="1"/>
  <c r="AC243" i="1"/>
  <c r="AX244" i="1"/>
  <c r="BK255" i="1"/>
  <c r="BK274" i="1"/>
  <c r="BK278" i="1"/>
  <c r="BK279" i="1"/>
  <c r="BL281" i="1"/>
  <c r="BK283" i="1"/>
  <c r="BM296" i="1"/>
  <c r="AC300" i="1"/>
  <c r="BL321" i="1"/>
  <c r="AP329" i="1"/>
  <c r="AQ329" i="1" s="1"/>
  <c r="AB333" i="1"/>
  <c r="BK352" i="1"/>
  <c r="BK363" i="1"/>
  <c r="BK364" i="1"/>
  <c r="BK365" i="1"/>
  <c r="AC383" i="1"/>
  <c r="AX384" i="1"/>
  <c r="AP385" i="1"/>
  <c r="AQ385" i="1" s="1"/>
  <c r="AB390" i="1"/>
  <c r="AP395" i="1"/>
  <c r="AQ395" i="1" s="1"/>
  <c r="AB461" i="1"/>
  <c r="AC461" i="1"/>
  <c r="BK484" i="1"/>
  <c r="AB488" i="1"/>
  <c r="BK517" i="1"/>
  <c r="AB526" i="1"/>
  <c r="AC526" i="1"/>
  <c r="BM585" i="1"/>
  <c r="BL585" i="1"/>
  <c r="BK601" i="1"/>
  <c r="BM637" i="1"/>
  <c r="BL637" i="1"/>
  <c r="BM646" i="1"/>
  <c r="BL646" i="1"/>
  <c r="AY656" i="1"/>
  <c r="AX656" i="1"/>
  <c r="BL711" i="1"/>
  <c r="BL762" i="1"/>
  <c r="BK797" i="1"/>
  <c r="AP865" i="1"/>
  <c r="AQ865" i="1" s="1"/>
  <c r="BK888" i="1"/>
  <c r="BL959" i="1"/>
  <c r="AB159" i="1"/>
  <c r="BL173" i="1"/>
  <c r="BK180" i="1"/>
  <c r="AC204" i="1"/>
  <c r="AP205" i="1"/>
  <c r="AQ205" i="1" s="1"/>
  <c r="BL212" i="1"/>
  <c r="AC216" i="1"/>
  <c r="BL234" i="1"/>
  <c r="AC242" i="1"/>
  <c r="BL245" i="1"/>
  <c r="AP258" i="1"/>
  <c r="AQ258" i="1" s="1"/>
  <c r="AO259" i="1"/>
  <c r="AC263" i="1"/>
  <c r="AB308" i="1"/>
  <c r="BK315" i="1"/>
  <c r="AB325" i="1"/>
  <c r="AP334" i="1"/>
  <c r="AQ334" i="1" s="1"/>
  <c r="BK356" i="1"/>
  <c r="BK362" i="1"/>
  <c r="BK370" i="1"/>
  <c r="BL380" i="1"/>
  <c r="AP384" i="1"/>
  <c r="AQ384" i="1" s="1"/>
  <c r="BK396" i="1"/>
  <c r="BK437" i="1"/>
  <c r="BK454" i="1"/>
  <c r="BK464" i="1"/>
  <c r="AP470" i="1"/>
  <c r="AQ470" i="1" s="1"/>
  <c r="BK516" i="1"/>
  <c r="AY583" i="1"/>
  <c r="AX583" i="1"/>
  <c r="AX622" i="1"/>
  <c r="AY622" i="1"/>
  <c r="AC635" i="1"/>
  <c r="BM645" i="1"/>
  <c r="BL645" i="1"/>
  <c r="BK691" i="1"/>
  <c r="BK695" i="1"/>
  <c r="AX736" i="1"/>
  <c r="AY736" i="1"/>
  <c r="AP744" i="1"/>
  <c r="AY817" i="1"/>
  <c r="AX817" i="1"/>
  <c r="BK112" i="1"/>
  <c r="AC123" i="1"/>
  <c r="AP217" i="1"/>
  <c r="AQ217" i="1" s="1"/>
  <c r="AY231" i="1"/>
  <c r="AC494" i="1"/>
  <c r="AB494" i="1"/>
  <c r="BM840" i="1"/>
  <c r="BL840" i="1"/>
  <c r="AY864" i="1"/>
  <c r="AX864" i="1"/>
  <c r="AX937" i="1"/>
  <c r="AY937" i="1"/>
  <c r="BL78" i="1"/>
  <c r="BK79" i="1"/>
  <c r="BK81" i="1"/>
  <c r="AP96" i="1"/>
  <c r="AQ96" i="1" s="1"/>
  <c r="AP105" i="1"/>
  <c r="AQ105" i="1" s="1"/>
  <c r="BK109" i="1"/>
  <c r="BK155" i="1"/>
  <c r="BK156" i="1"/>
  <c r="BL160" i="1"/>
  <c r="BK173" i="1"/>
  <c r="AC199" i="1"/>
  <c r="BK212" i="1"/>
  <c r="AX230" i="1"/>
  <c r="BK234" i="1"/>
  <c r="AC241" i="1"/>
  <c r="BK246" i="1"/>
  <c r="AP249" i="1"/>
  <c r="AQ249" i="1" s="1"/>
  <c r="AB254" i="1"/>
  <c r="AC255" i="1"/>
  <c r="BL271" i="1"/>
  <c r="BK277" i="1"/>
  <c r="AP290" i="1"/>
  <c r="AQ290" i="1" s="1"/>
  <c r="AX299" i="1"/>
  <c r="AP300" i="1"/>
  <c r="AQ300" i="1" s="1"/>
  <c r="AX332" i="1"/>
  <c r="AG333" i="1"/>
  <c r="AX333" i="1" s="1"/>
  <c r="BK347" i="1"/>
  <c r="BL356" i="1"/>
  <c r="BL358" i="1"/>
  <c r="BM370" i="1"/>
  <c r="AB387" i="1"/>
  <c r="BL392" i="1"/>
  <c r="AB410" i="1"/>
  <c r="AC410" i="1"/>
  <c r="AX420" i="1"/>
  <c r="AY420" i="1"/>
  <c r="BM501" i="1"/>
  <c r="BL501" i="1"/>
  <c r="BL569" i="1"/>
  <c r="BM569" i="1"/>
  <c r="AY634" i="1"/>
  <c r="AX634" i="1"/>
  <c r="AY654" i="1"/>
  <c r="AX654" i="1"/>
  <c r="AP675" i="1"/>
  <c r="AC758" i="1"/>
  <c r="AY782" i="1"/>
  <c r="AX782" i="1"/>
  <c r="AY816" i="1"/>
  <c r="AX816" i="1"/>
  <c r="AB875" i="1"/>
  <c r="AC875" i="1"/>
  <c r="BL885" i="1"/>
  <c r="BK915" i="1"/>
  <c r="BL105" i="1"/>
  <c r="BK108" i="1"/>
  <c r="AP166" i="1"/>
  <c r="AQ166" i="1" s="1"/>
  <c r="BK169" i="1"/>
  <c r="AP201" i="1"/>
  <c r="AQ201" i="1" s="1"/>
  <c r="AP202" i="1"/>
  <c r="AQ202" i="1" s="1"/>
  <c r="BK206" i="1"/>
  <c r="AP218" i="1"/>
  <c r="AQ218" i="1" s="1"/>
  <c r="AP228" i="1"/>
  <c r="AQ228" i="1" s="1"/>
  <c r="BK233" i="1"/>
  <c r="AG242" i="1"/>
  <c r="AP256" i="1"/>
  <c r="AC287" i="1"/>
  <c r="BK348" i="1"/>
  <c r="BK359" i="1"/>
  <c r="AP388" i="1"/>
  <c r="AP389" i="1"/>
  <c r="AQ389" i="1" s="1"/>
  <c r="BM461" i="1"/>
  <c r="BL461" i="1"/>
  <c r="BK508" i="1"/>
  <c r="AP512" i="1"/>
  <c r="AQ512" i="1" s="1"/>
  <c r="BK514" i="1"/>
  <c r="BK543" i="1"/>
  <c r="BK570" i="1"/>
  <c r="BM613" i="1"/>
  <c r="BL613" i="1"/>
  <c r="BK629" i="1"/>
  <c r="AP634" i="1"/>
  <c r="AQ634" i="1" s="1"/>
  <c r="AX707" i="1"/>
  <c r="AY707" i="1"/>
  <c r="BL822" i="1"/>
  <c r="BM822" i="1"/>
  <c r="BK930" i="1"/>
  <c r="AC409" i="1"/>
  <c r="AB409" i="1"/>
  <c r="AY419" i="1"/>
  <c r="AX419" i="1"/>
  <c r="AC433" i="1"/>
  <c r="AB433" i="1"/>
  <c r="AC455" i="1"/>
  <c r="AG455" i="1"/>
  <c r="AY455" i="1" s="1"/>
  <c r="AI599" i="1"/>
  <c r="AO599" i="1"/>
  <c r="AX664" i="1"/>
  <c r="AY664" i="1"/>
  <c r="BM723" i="1"/>
  <c r="BL723" i="1"/>
  <c r="AC733" i="1"/>
  <c r="AB733" i="1"/>
  <c r="BL884" i="1"/>
  <c r="BM884" i="1"/>
  <c r="BM929" i="1"/>
  <c r="BL929" i="1"/>
  <c r="BK391" i="1"/>
  <c r="BK404" i="1"/>
  <c r="BK406" i="1"/>
  <c r="BL411" i="1"/>
  <c r="AY415" i="1"/>
  <c r="BL417" i="1"/>
  <c r="BK419" i="1"/>
  <c r="BL434" i="1"/>
  <c r="BK438" i="1"/>
  <c r="AB462" i="1"/>
  <c r="AY473" i="1"/>
  <c r="BK488" i="1"/>
  <c r="BL499" i="1"/>
  <c r="AP505" i="1"/>
  <c r="AQ505" i="1" s="1"/>
  <c r="AX508" i="1"/>
  <c r="BK519" i="1"/>
  <c r="BL582" i="1"/>
  <c r="BL594" i="1"/>
  <c r="BK596" i="1"/>
  <c r="BK597" i="1"/>
  <c r="AB627" i="1"/>
  <c r="AX628" i="1"/>
  <c r="AX629" i="1"/>
  <c r="AX631" i="1"/>
  <c r="AC640" i="1"/>
  <c r="AC641" i="1"/>
  <c r="BK650" i="1"/>
  <c r="BL656" i="1"/>
  <c r="AY665" i="1"/>
  <c r="AX668" i="1"/>
  <c r="AP677" i="1"/>
  <c r="AQ677" i="1" s="1"/>
  <c r="AB684" i="1"/>
  <c r="AP685" i="1"/>
  <c r="AQ685" i="1" s="1"/>
  <c r="AC725" i="1"/>
  <c r="AC728" i="1"/>
  <c r="BL756" i="1"/>
  <c r="BL758" i="1"/>
  <c r="AP767" i="1"/>
  <c r="AQ767" i="1" s="1"/>
  <c r="AB786" i="1"/>
  <c r="AY796" i="1"/>
  <c r="AY800" i="1"/>
  <c r="AB815" i="1"/>
  <c r="AC838" i="1"/>
  <c r="BK846" i="1"/>
  <c r="BL860" i="1"/>
  <c r="AP870" i="1"/>
  <c r="AQ893" i="1"/>
  <c r="AX901" i="1"/>
  <c r="BL920" i="1"/>
  <c r="BK931" i="1"/>
  <c r="BK936" i="1"/>
  <c r="AB938" i="1"/>
  <c r="AC938" i="1"/>
  <c r="AP939" i="1"/>
  <c r="AQ939" i="1" s="1"/>
  <c r="BM960" i="1"/>
  <c r="BL960" i="1"/>
  <c r="AX970" i="1"/>
  <c r="AY970" i="1"/>
  <c r="AX987" i="1"/>
  <c r="BK1010" i="1"/>
  <c r="AX1021" i="1"/>
  <c r="AY1021" i="1"/>
  <c r="AG1084" i="1"/>
  <c r="AX1084" i="1" s="1"/>
  <c r="AB1084" i="1"/>
  <c r="BM1118" i="1"/>
  <c r="BL1118" i="1"/>
  <c r="BM1159" i="1"/>
  <c r="BL1159" i="1"/>
  <c r="AB1235" i="1"/>
  <c r="AC1235" i="1"/>
  <c r="BK408" i="1"/>
  <c r="BK413" i="1"/>
  <c r="BK451" i="1"/>
  <c r="AY468" i="1"/>
  <c r="BK496" i="1"/>
  <c r="BK497" i="1"/>
  <c r="AX505" i="1"/>
  <c r="BK506" i="1"/>
  <c r="BK518" i="1"/>
  <c r="AY523" i="1"/>
  <c r="AP529" i="1"/>
  <c r="AP546" i="1"/>
  <c r="AQ546" i="1" s="1"/>
  <c r="BK551" i="1"/>
  <c r="BK578" i="1"/>
  <c r="BK595" i="1"/>
  <c r="AB600" i="1"/>
  <c r="BK608" i="1"/>
  <c r="BL628" i="1"/>
  <c r="BK635" i="1"/>
  <c r="AB643" i="1"/>
  <c r="AB658" i="1"/>
  <c r="AP674" i="1"/>
  <c r="AQ674" i="1" s="1"/>
  <c r="BK678" i="1"/>
  <c r="AY694" i="1"/>
  <c r="AB707" i="1"/>
  <c r="AP709" i="1"/>
  <c r="AQ709" i="1" s="1"/>
  <c r="AY710" i="1"/>
  <c r="AP729" i="1"/>
  <c r="AQ729" i="1" s="1"/>
  <c r="AY752" i="1"/>
  <c r="BL779" i="1"/>
  <c r="AB785" i="1"/>
  <c r="AP787" i="1"/>
  <c r="AP788" i="1"/>
  <c r="AQ788" i="1" s="1"/>
  <c r="BK804" i="1"/>
  <c r="AB816" i="1"/>
  <c r="AY822" i="1"/>
  <c r="BK827" i="1"/>
  <c r="AC858" i="1"/>
  <c r="BK861" i="1"/>
  <c r="AC868" i="1"/>
  <c r="BK873" i="1"/>
  <c r="BL893" i="1"/>
  <c r="BL904" i="1"/>
  <c r="AB909" i="1"/>
  <c r="AC926" i="1"/>
  <c r="AX985" i="1"/>
  <c r="AX986" i="1"/>
  <c r="BK995" i="1"/>
  <c r="AY1020" i="1"/>
  <c r="AX1020" i="1"/>
  <c r="AC1100" i="1"/>
  <c r="AB1100" i="1"/>
  <c r="AB1128" i="1"/>
  <c r="AC1128" i="1"/>
  <c r="AY1223" i="1"/>
  <c r="AX1223" i="1"/>
  <c r="BL794" i="1"/>
  <c r="BK795" i="1"/>
  <c r="AP817" i="1"/>
  <c r="AQ817" i="1" s="1"/>
  <c r="BL834" i="1"/>
  <c r="BK835" i="1"/>
  <c r="BK840" i="1"/>
  <c r="BK842" i="1"/>
  <c r="AP847" i="1"/>
  <c r="AQ847" i="1" s="1"/>
  <c r="BK872" i="1"/>
  <c r="BK892" i="1"/>
  <c r="AX932" i="1"/>
  <c r="AY932" i="1"/>
  <c r="AY967" i="1"/>
  <c r="AX967" i="1"/>
  <c r="AP1019" i="1"/>
  <c r="AQ1019" i="1" s="1"/>
  <c r="AY1082" i="1"/>
  <c r="AX1082" i="1"/>
  <c r="BL1113" i="1"/>
  <c r="BM1190" i="1"/>
  <c r="BL1190" i="1"/>
  <c r="AY1212" i="1"/>
  <c r="AX1212" i="1"/>
  <c r="AX1222" i="1"/>
  <c r="AY1222" i="1"/>
  <c r="BL708" i="1"/>
  <c r="BK751" i="1"/>
  <c r="BK789" i="1"/>
  <c r="BK790" i="1"/>
  <c r="BL793" i="1"/>
  <c r="AC803" i="1"/>
  <c r="BK911" i="1"/>
  <c r="AB914" i="1"/>
  <c r="AY996" i="1"/>
  <c r="AX996" i="1"/>
  <c r="BL1003" i="1"/>
  <c r="BL1065" i="1"/>
  <c r="BM1065" i="1"/>
  <c r="BM1146" i="1"/>
  <c r="BL1146" i="1"/>
  <c r="AC1177" i="1"/>
  <c r="AB1177" i="1"/>
  <c r="AC1239" i="1"/>
  <c r="AB1239" i="1"/>
  <c r="AP420" i="1"/>
  <c r="AQ420" i="1" s="1"/>
  <c r="AP489" i="1"/>
  <c r="AQ489" i="1" s="1"/>
  <c r="BK547" i="1"/>
  <c r="BK587" i="1"/>
  <c r="AP598" i="1"/>
  <c r="AP611" i="1"/>
  <c r="AQ611" i="1" s="1"/>
  <c r="BL612" i="1"/>
  <c r="BK613" i="1"/>
  <c r="BL615" i="1"/>
  <c r="BL624" i="1"/>
  <c r="BK638" i="1"/>
  <c r="BK646" i="1"/>
  <c r="AP648" i="1"/>
  <c r="AQ648" i="1" s="1"/>
  <c r="AP650" i="1"/>
  <c r="AQ650" i="1" s="1"/>
  <c r="AP653" i="1"/>
  <c r="AQ653" i="1" s="1"/>
  <c r="AP657" i="1"/>
  <c r="AB679" i="1"/>
  <c r="BK687" i="1"/>
  <c r="BK693" i="1"/>
  <c r="BL698" i="1"/>
  <c r="AC720" i="1"/>
  <c r="BL725" i="1"/>
  <c r="BK728" i="1"/>
  <c r="AP761" i="1"/>
  <c r="AQ761" i="1" s="1"/>
  <c r="BL773" i="1"/>
  <c r="AB800" i="1"/>
  <c r="AB804" i="1"/>
  <c r="AP813" i="1"/>
  <c r="AQ813" i="1" s="1"/>
  <c r="AP833" i="1"/>
  <c r="AQ833" i="1" s="1"/>
  <c r="BK849" i="1"/>
  <c r="BK869" i="1"/>
  <c r="AB874" i="1"/>
  <c r="BM893" i="1"/>
  <c r="AP904" i="1"/>
  <c r="AQ904" i="1" s="1"/>
  <c r="AY1077" i="1"/>
  <c r="AX1077" i="1"/>
  <c r="AY1168" i="1"/>
  <c r="AX1168" i="1"/>
  <c r="AY1221" i="1"/>
  <c r="AX1221" i="1"/>
  <c r="AC1232" i="1"/>
  <c r="AB1232" i="1"/>
  <c r="BK460" i="1"/>
  <c r="BK463" i="1"/>
  <c r="AB466" i="1"/>
  <c r="AG481" i="1"/>
  <c r="AY481" i="1" s="1"/>
  <c r="AB485" i="1"/>
  <c r="BK493" i="1"/>
  <c r="BL512" i="1"/>
  <c r="AL1276" i="1"/>
  <c r="AB771" i="1"/>
  <c r="AB842" i="1"/>
  <c r="AP854" i="1"/>
  <c r="AQ854" i="1" s="1"/>
  <c r="BL865" i="1"/>
  <c r="AB872" i="1"/>
  <c r="AP966" i="1"/>
  <c r="AQ966" i="1" s="1"/>
  <c r="AC1209" i="1"/>
  <c r="AB1209" i="1"/>
  <c r="AP406" i="1"/>
  <c r="AQ406" i="1" s="1"/>
  <c r="AP407" i="1"/>
  <c r="AQ407" i="1" s="1"/>
  <c r="AB424" i="1"/>
  <c r="AX564" i="1"/>
  <c r="AC567" i="1"/>
  <c r="BL591" i="1"/>
  <c r="BK615" i="1"/>
  <c r="BL655" i="1"/>
  <c r="AP664" i="1"/>
  <c r="AQ664" i="1" s="1"/>
  <c r="AC669" i="1"/>
  <c r="AB702" i="1"/>
  <c r="AB711" i="1"/>
  <c r="AB748" i="1"/>
  <c r="AB768" i="1"/>
  <c r="BL783" i="1"/>
  <c r="AB801" i="1"/>
  <c r="AB824" i="1"/>
  <c r="BL831" i="1"/>
  <c r="AB836" i="1"/>
  <c r="AX844" i="1"/>
  <c r="AX845" i="1"/>
  <c r="BL869" i="1"/>
  <c r="AX1017" i="1"/>
  <c r="AY1017" i="1"/>
  <c r="BM1036" i="1"/>
  <c r="BL1036" i="1"/>
  <c r="BM1187" i="1"/>
  <c r="BL1187" i="1"/>
  <c r="AC1208" i="1"/>
  <c r="AB1208" i="1"/>
  <c r="AY1220" i="1"/>
  <c r="AX1220" i="1"/>
  <c r="AC1270" i="1"/>
  <c r="AC1271" i="1"/>
  <c r="AB1271" i="1"/>
  <c r="BL391" i="1"/>
  <c r="AP409" i="1"/>
  <c r="AQ409" i="1" s="1"/>
  <c r="AP410" i="1"/>
  <c r="AQ410" i="1" s="1"/>
  <c r="AX432" i="1"/>
  <c r="BK439" i="1"/>
  <c r="AP467" i="1"/>
  <c r="AQ467" i="1" s="1"/>
  <c r="AB471" i="1"/>
  <c r="BL480" i="1"/>
  <c r="AC483" i="1"/>
  <c r="BK502" i="1"/>
  <c r="BK512" i="1"/>
  <c r="AP524" i="1"/>
  <c r="BK540" i="1"/>
  <c r="AB569" i="1"/>
  <c r="BL653" i="1"/>
  <c r="AC677" i="1"/>
  <c r="AP678" i="1"/>
  <c r="AQ678" i="1" s="1"/>
  <c r="AP681" i="1"/>
  <c r="AQ681" i="1" s="1"/>
  <c r="AB686" i="1"/>
  <c r="AB712" i="1"/>
  <c r="BM722" i="1"/>
  <c r="AY734" i="1"/>
  <c r="BL742" i="1"/>
  <c r="AX759" i="1"/>
  <c r="AC762" i="1"/>
  <c r="AB795" i="1"/>
  <c r="AX799" i="1"/>
  <c r="BL815" i="1"/>
  <c r="AX861" i="1"/>
  <c r="BL867" i="1"/>
  <c r="AB880" i="1"/>
  <c r="AB895" i="1"/>
  <c r="AB896" i="1"/>
  <c r="BM965" i="1"/>
  <c r="BL965" i="1"/>
  <c r="AY1016" i="1"/>
  <c r="AX1016" i="1"/>
  <c r="AP1023" i="1"/>
  <c r="AQ1023" i="1" s="1"/>
  <c r="AY1185" i="1"/>
  <c r="AX1185" i="1"/>
  <c r="AY1225" i="1"/>
  <c r="AX1225" i="1"/>
  <c r="AC1237" i="1"/>
  <c r="AB1237" i="1"/>
  <c r="AX558" i="1"/>
  <c r="AX577" i="1"/>
  <c r="AX609" i="1"/>
  <c r="AC639" i="1"/>
  <c r="BK656" i="1"/>
  <c r="AB660" i="1"/>
  <c r="BL672" i="1"/>
  <c r="AB685" i="1"/>
  <c r="AC687" i="1"/>
  <c r="BK697" i="1"/>
  <c r="AB709" i="1"/>
  <c r="AB740" i="1"/>
  <c r="AB750" i="1"/>
  <c r="AC766" i="1"/>
  <c r="AX770" i="1"/>
  <c r="AB776" i="1"/>
  <c r="AY803" i="1"/>
  <c r="AX805" i="1"/>
  <c r="AX843" i="1"/>
  <c r="BL847" i="1"/>
  <c r="AB850" i="1"/>
  <c r="BL863" i="1"/>
  <c r="BK866" i="1"/>
  <c r="AC876" i="1"/>
  <c r="AB899" i="1"/>
  <c r="BK905" i="1"/>
  <c r="BM908" i="1"/>
  <c r="BM963" i="1"/>
  <c r="BL963" i="1"/>
  <c r="AC999" i="1"/>
  <c r="AB999" i="1"/>
  <c r="AB1050" i="1"/>
  <c r="AC1050" i="1"/>
  <c r="AP1085" i="1"/>
  <c r="AP1130" i="1"/>
  <c r="BL1143" i="1"/>
  <c r="AX1174" i="1"/>
  <c r="AY1174" i="1"/>
  <c r="BL488" i="1"/>
  <c r="BK499" i="1"/>
  <c r="BL633" i="1"/>
  <c r="AY719" i="1"/>
  <c r="BM721" i="1"/>
  <c r="AB726" i="1"/>
  <c r="BK735" i="1"/>
  <c r="BM737" i="1"/>
  <c r="AC741" i="1"/>
  <c r="BK758" i="1"/>
  <c r="BM816" i="1"/>
  <c r="BM865" i="1"/>
  <c r="AB869" i="1"/>
  <c r="BL913" i="1"/>
  <c r="BM1014" i="1"/>
  <c r="BL1014" i="1"/>
  <c r="AB1021" i="1"/>
  <c r="BL1205" i="1"/>
  <c r="BM1205" i="1"/>
  <c r="AX1224" i="1"/>
  <c r="AY1224" i="1"/>
  <c r="AB1062" i="1"/>
  <c r="AY1070" i="1"/>
  <c r="AY1089" i="1"/>
  <c r="AY1094" i="1"/>
  <c r="BL1114" i="1"/>
  <c r="AC1119" i="1"/>
  <c r="BK1124" i="1"/>
  <c r="AC1130" i="1"/>
  <c r="BK1136" i="1"/>
  <c r="BL1138" i="1"/>
  <c r="AC1142" i="1"/>
  <c r="AQ1145" i="1"/>
  <c r="AX1150" i="1"/>
  <c r="AX1192" i="1"/>
  <c r="AY1217" i="1"/>
  <c r="BL1218" i="1"/>
  <c r="BM1223" i="1"/>
  <c r="BK1234" i="1"/>
  <c r="BM1236" i="1"/>
  <c r="BK1238" i="1"/>
  <c r="BK1240" i="1"/>
  <c r="AP1244" i="1"/>
  <c r="AQ1244" i="1" s="1"/>
  <c r="BK1246" i="1"/>
  <c r="BK1247" i="1"/>
  <c r="AX1252" i="1"/>
  <c r="AY1254" i="1"/>
  <c r="BK1256" i="1"/>
  <c r="BL1268" i="1"/>
  <c r="BK939" i="1"/>
  <c r="AP951" i="1"/>
  <c r="AQ951" i="1" s="1"/>
  <c r="BL970" i="1"/>
  <c r="BK972" i="1"/>
  <c r="AB978" i="1"/>
  <c r="AP979" i="1"/>
  <c r="AX982" i="1"/>
  <c r="BK983" i="1"/>
  <c r="BK998" i="1"/>
  <c r="BK1011" i="1"/>
  <c r="AP1027" i="1"/>
  <c r="AP1030" i="1"/>
  <c r="AX1033" i="1"/>
  <c r="AP1036" i="1"/>
  <c r="AQ1036" i="1" s="1"/>
  <c r="BL1043" i="1"/>
  <c r="AP1055" i="1"/>
  <c r="AQ1055" i="1" s="1"/>
  <c r="BK1073" i="1"/>
  <c r="AB1077" i="1"/>
  <c r="BK1097" i="1"/>
  <c r="AP1149" i="1"/>
  <c r="BK1151" i="1"/>
  <c r="AP1156" i="1"/>
  <c r="AQ1156" i="1" s="1"/>
  <c r="AB1169" i="1"/>
  <c r="AC1179" i="1"/>
  <c r="AC1185" i="1"/>
  <c r="AX1188" i="1"/>
  <c r="AX1189" i="1"/>
  <c r="BL1194" i="1"/>
  <c r="BK1200" i="1"/>
  <c r="BK1202" i="1"/>
  <c r="AP1216" i="1"/>
  <c r="AQ1216" i="1" s="1"/>
  <c r="AC1223" i="1"/>
  <c r="BL1228" i="1"/>
  <c r="BK1237" i="1"/>
  <c r="BK1255" i="1"/>
  <c r="BK1264" i="1"/>
  <c r="BL1029" i="1"/>
  <c r="BL1052" i="1"/>
  <c r="BL1061" i="1"/>
  <c r="BK1112" i="1"/>
  <c r="AP1186" i="1"/>
  <c r="AQ1186" i="1" s="1"/>
  <c r="BK1252" i="1"/>
  <c r="BK1253" i="1"/>
  <c r="AX966" i="1"/>
  <c r="BK996" i="1"/>
  <c r="BL1004" i="1"/>
  <c r="AP1022" i="1"/>
  <c r="AQ1022" i="1" s="1"/>
  <c r="BL1027" i="1"/>
  <c r="AB1089" i="1"/>
  <c r="BK1096" i="1"/>
  <c r="AB1134" i="1"/>
  <c r="AC1136" i="1"/>
  <c r="BK1149" i="1"/>
  <c r="BK1158" i="1"/>
  <c r="BL1197" i="1"/>
  <c r="BK1205" i="1"/>
  <c r="AP1236" i="1"/>
  <c r="AQ1236" i="1" s="1"/>
  <c r="AC1240" i="1"/>
  <c r="BL1243" i="1"/>
  <c r="BK1262" i="1"/>
  <c r="AP934" i="1"/>
  <c r="AQ934" i="1" s="1"/>
  <c r="BK959" i="1"/>
  <c r="BK964" i="1"/>
  <c r="AB970" i="1"/>
  <c r="AC973" i="1"/>
  <c r="AP974" i="1"/>
  <c r="AQ974" i="1" s="1"/>
  <c r="BL978" i="1"/>
  <c r="BK981" i="1"/>
  <c r="BL989" i="1"/>
  <c r="BK991" i="1"/>
  <c r="AC996" i="1"/>
  <c r="AC998" i="1"/>
  <c r="AP1024" i="1"/>
  <c r="AQ1024" i="1" s="1"/>
  <c r="BK1027" i="1"/>
  <c r="AC1046" i="1"/>
  <c r="AC1047" i="1"/>
  <c r="AC1069" i="1"/>
  <c r="AB1070" i="1"/>
  <c r="AP1074" i="1"/>
  <c r="AP1075" i="1"/>
  <c r="AQ1075" i="1" s="1"/>
  <c r="AO1084" i="1"/>
  <c r="AP1084" i="1" s="1"/>
  <c r="AQ1084" i="1" s="1"/>
  <c r="AC1094" i="1"/>
  <c r="BK1102" i="1"/>
  <c r="BK1104" i="1"/>
  <c r="AP1108" i="1"/>
  <c r="AQ1108" i="1" s="1"/>
  <c r="AP1128" i="1"/>
  <c r="AQ1128" i="1" s="1"/>
  <c r="AO1169" i="1"/>
  <c r="AP1169" i="1" s="1"/>
  <c r="AC1171" i="1"/>
  <c r="AP1176" i="1"/>
  <c r="AQ1176" i="1" s="1"/>
  <c r="BL1186" i="1"/>
  <c r="AC1194" i="1"/>
  <c r="BK1197" i="1"/>
  <c r="AB1201" i="1"/>
  <c r="AC1202" i="1"/>
  <c r="AP1209" i="1"/>
  <c r="AQ1209" i="1" s="1"/>
  <c r="BL1222" i="1"/>
  <c r="AP1257" i="1"/>
  <c r="AQ1257" i="1" s="1"/>
  <c r="AP1258" i="1"/>
  <c r="AQ1258" i="1" s="1"/>
  <c r="AP1271" i="1"/>
  <c r="AQ1271" i="1" s="1"/>
  <c r="AC1274" i="1"/>
  <c r="AX1049" i="1"/>
  <c r="BK1059" i="1"/>
  <c r="AX1137" i="1"/>
  <c r="AX1175" i="1"/>
  <c r="BL941" i="1"/>
  <c r="BK942" i="1"/>
  <c r="BK944" i="1"/>
  <c r="AY948" i="1"/>
  <c r="BK950" i="1"/>
  <c r="BL952" i="1"/>
  <c r="AP969" i="1"/>
  <c r="AQ969" i="1" s="1"/>
  <c r="AP970" i="1"/>
  <c r="AQ970" i="1" s="1"/>
  <c r="AP973" i="1"/>
  <c r="AX974" i="1"/>
  <c r="AY975" i="1"/>
  <c r="BK979" i="1"/>
  <c r="BL1018" i="1"/>
  <c r="BL1019" i="1"/>
  <c r="BK1025" i="1"/>
  <c r="AC1095" i="1"/>
  <c r="BM1102" i="1"/>
  <c r="AC1114" i="1"/>
  <c r="AC1122" i="1"/>
  <c r="AX1125" i="1"/>
  <c r="AX1127" i="1"/>
  <c r="BL1129" i="1"/>
  <c r="AP1131" i="1"/>
  <c r="AQ1131" i="1" s="1"/>
  <c r="AP1134" i="1"/>
  <c r="AQ1134" i="1" s="1"/>
  <c r="AP1136" i="1"/>
  <c r="AQ1136" i="1" s="1"/>
  <c r="BL1139" i="1"/>
  <c r="AB1145" i="1"/>
  <c r="AX1165" i="1"/>
  <c r="AX1173" i="1"/>
  <c r="AX1182" i="1"/>
  <c r="BL1184" i="1"/>
  <c r="AB1206" i="1"/>
  <c r="AX1207" i="1"/>
  <c r="BL1212" i="1"/>
  <c r="BL1220" i="1"/>
  <c r="AO1229" i="1"/>
  <c r="BL1235" i="1"/>
  <c r="AP1239" i="1"/>
  <c r="AQ1239" i="1" s="1"/>
  <c r="BL1241" i="1"/>
  <c r="AC1249" i="1"/>
  <c r="AB1253" i="1"/>
  <c r="AY1257" i="1"/>
  <c r="BK1260" i="1"/>
  <c r="AY939" i="1"/>
  <c r="BK949" i="1"/>
  <c r="BK952" i="1"/>
  <c r="BK966" i="1"/>
  <c r="AC1008" i="1"/>
  <c r="BK1019" i="1"/>
  <c r="BL1058" i="1"/>
  <c r="AB1067" i="1"/>
  <c r="AP1068" i="1"/>
  <c r="AQ1068" i="1" s="1"/>
  <c r="BK1075" i="1"/>
  <c r="AY1080" i="1"/>
  <c r="BL1081" i="1"/>
  <c r="BL1082" i="1"/>
  <c r="AB1096" i="1"/>
  <c r="BL1098" i="1"/>
  <c r="BK1101" i="1"/>
  <c r="BK1108" i="1"/>
  <c r="AB1112" i="1"/>
  <c r="AP1113" i="1"/>
  <c r="AQ1113" i="1" s="1"/>
  <c r="BK1129" i="1"/>
  <c r="BK1132" i="1"/>
  <c r="BK1139" i="1"/>
  <c r="AP1151" i="1"/>
  <c r="AQ1151" i="1" s="1"/>
  <c r="BL1156" i="1"/>
  <c r="AP1160" i="1"/>
  <c r="BL1164" i="1"/>
  <c r="BK1169" i="1"/>
  <c r="BL1175" i="1"/>
  <c r="AB1190" i="1"/>
  <c r="BL1207" i="1"/>
  <c r="AX1209" i="1"/>
  <c r="BK1212" i="1"/>
  <c r="BL1215" i="1"/>
  <c r="AP1218" i="1"/>
  <c r="AQ1218" i="1" s="1"/>
  <c r="AY1246" i="1"/>
  <c r="AC1265" i="1"/>
  <c r="AX1273" i="1"/>
  <c r="BK1017" i="1"/>
  <c r="BK1021" i="1"/>
  <c r="BK1024" i="1"/>
  <c r="AP1043" i="1"/>
  <c r="AQ1043" i="1" s="1"/>
  <c r="BK1077" i="1"/>
  <c r="BK1081" i="1"/>
  <c r="AP1087" i="1"/>
  <c r="AQ1087" i="1" s="1"/>
  <c r="BK1100" i="1"/>
  <c r="BL1106" i="1"/>
  <c r="AX1115" i="1"/>
  <c r="AX1171" i="1"/>
  <c r="AY1172" i="1"/>
  <c r="AX1200" i="1"/>
  <c r="AY1201" i="1"/>
  <c r="BM1222" i="1"/>
  <c r="BK1225" i="1"/>
  <c r="AC1228" i="1"/>
  <c r="AX1237" i="1"/>
  <c r="AC1244" i="1"/>
  <c r="AX1264" i="1"/>
  <c r="BK941" i="1"/>
  <c r="AP962" i="1"/>
  <c r="AQ962" i="1" s="1"/>
  <c r="BL968" i="1"/>
  <c r="AX969" i="1"/>
  <c r="BK975" i="1"/>
  <c r="AQ1003" i="1"/>
  <c r="AQ1007" i="1"/>
  <c r="AP1033" i="1"/>
  <c r="AQ1033" i="1" s="1"/>
  <c r="AX1069" i="1"/>
  <c r="BL1084" i="1"/>
  <c r="AX1093" i="1"/>
  <c r="AB1104" i="1"/>
  <c r="BL1107" i="1"/>
  <c r="BL1136" i="1"/>
  <c r="AB1148" i="1"/>
  <c r="BK1152" i="1"/>
  <c r="BK1168" i="1"/>
  <c r="BK1173" i="1"/>
  <c r="BK1174" i="1"/>
  <c r="BK1177" i="1"/>
  <c r="BL1180" i="1"/>
  <c r="BK1183" i="1"/>
  <c r="AP1193" i="1"/>
  <c r="AQ1193" i="1" s="1"/>
  <c r="AC1198" i="1"/>
  <c r="BL1234" i="1"/>
  <c r="AC1243" i="1"/>
  <c r="BL1250" i="1"/>
  <c r="BK1257" i="1"/>
  <c r="BL1259" i="1"/>
  <c r="AC1267" i="1"/>
  <c r="AX55" i="1"/>
  <c r="AY55" i="1"/>
  <c r="AV1276" i="1"/>
  <c r="AY70" i="1"/>
  <c r="AX70" i="1"/>
  <c r="AC106" i="1"/>
  <c r="AB106" i="1"/>
  <c r="AP144" i="1"/>
  <c r="AQ144" i="1" s="1"/>
  <c r="AP313" i="1"/>
  <c r="AQ313" i="1" s="1"/>
  <c r="BM336" i="1"/>
  <c r="BL336" i="1"/>
  <c r="AX41" i="1"/>
  <c r="AY41" i="1"/>
  <c r="BM45" i="1"/>
  <c r="BL45" i="1"/>
  <c r="AP47" i="1"/>
  <c r="AQ47" i="1" s="1"/>
  <c r="AX48" i="1"/>
  <c r="AX60" i="1"/>
  <c r="BK65" i="1"/>
  <c r="BL100" i="1"/>
  <c r="BM100" i="1"/>
  <c r="BM112" i="1"/>
  <c r="BL112" i="1"/>
  <c r="AP128" i="1"/>
  <c r="AQ128" i="1" s="1"/>
  <c r="BL189" i="1"/>
  <c r="BM189" i="1"/>
  <c r="AC252" i="1"/>
  <c r="AB252" i="1"/>
  <c r="AC259" i="1"/>
  <c r="AG259" i="1"/>
  <c r="AY259" i="1" s="1"/>
  <c r="AP268" i="1"/>
  <c r="AQ268" i="1" s="1"/>
  <c r="AP51" i="1"/>
  <c r="AQ51" i="1" s="1"/>
  <c r="BL109" i="1"/>
  <c r="BM109" i="1"/>
  <c r="AC160" i="1"/>
  <c r="AB160" i="1"/>
  <c r="AC251" i="1"/>
  <c r="AB251" i="1"/>
  <c r="AP541" i="1"/>
  <c r="AQ541" i="1" s="1"/>
  <c r="AG572" i="1"/>
  <c r="AB572" i="1"/>
  <c r="AP659" i="1"/>
  <c r="AQ659" i="1" s="1"/>
  <c r="AO945" i="1"/>
  <c r="AP945" i="1" s="1"/>
  <c r="AB37" i="1"/>
  <c r="AX40" i="1"/>
  <c r="BM71" i="1"/>
  <c r="BL71" i="1"/>
  <c r="AY105" i="1"/>
  <c r="AX105" i="1"/>
  <c r="AB124" i="1"/>
  <c r="AC124" i="1"/>
  <c r="AB139" i="1"/>
  <c r="AC139" i="1"/>
  <c r="AY149" i="1"/>
  <c r="AX149" i="1"/>
  <c r="AY177" i="1"/>
  <c r="AX177" i="1"/>
  <c r="AP195" i="1"/>
  <c r="AQ195" i="1" s="1"/>
  <c r="AC217" i="1"/>
  <c r="AB217" i="1"/>
  <c r="AY258" i="1"/>
  <c r="AX258" i="1"/>
  <c r="BI1276" i="1"/>
  <c r="AP41" i="1"/>
  <c r="AQ41" i="1" s="1"/>
  <c r="AX54" i="1"/>
  <c r="BM62" i="1"/>
  <c r="AY68" i="1"/>
  <c r="AX68" i="1"/>
  <c r="AB83" i="1"/>
  <c r="AB94" i="1"/>
  <c r="AC94" i="1"/>
  <c r="AQ104" i="1"/>
  <c r="AB221" i="1"/>
  <c r="AC221" i="1"/>
  <c r="AY250" i="1"/>
  <c r="AX250" i="1"/>
  <c r="AP328" i="1"/>
  <c r="AQ328" i="1" s="1"/>
  <c r="AC378" i="1"/>
  <c r="AB378" i="1"/>
  <c r="BL32" i="1"/>
  <c r="BM32" i="1"/>
  <c r="BL514" i="1"/>
  <c r="BM514" i="1"/>
  <c r="BJ1276" i="1"/>
  <c r="AB36" i="1"/>
  <c r="BL40" i="1"/>
  <c r="AB50" i="1"/>
  <c r="AC81" i="1"/>
  <c r="AB81" i="1"/>
  <c r="AX176" i="1"/>
  <c r="AY176" i="1"/>
  <c r="AP224" i="1"/>
  <c r="AQ224" i="1" s="1"/>
  <c r="AY327" i="1"/>
  <c r="AX327" i="1"/>
  <c r="AB374" i="1"/>
  <c r="AC374" i="1"/>
  <c r="BM69" i="1"/>
  <c r="BL69" i="1"/>
  <c r="BL76" i="1"/>
  <c r="AC79" i="1"/>
  <c r="AB79" i="1"/>
  <c r="AB372" i="1"/>
  <c r="AC372" i="1"/>
  <c r="BL47" i="1"/>
  <c r="BK51" i="1"/>
  <c r="AC57" i="1"/>
  <c r="AC78" i="1"/>
  <c r="AB90" i="1"/>
  <c r="AY158" i="1"/>
  <c r="AX158" i="1"/>
  <c r="AC175" i="1"/>
  <c r="AB175" i="1"/>
  <c r="AB226" i="1"/>
  <c r="AC226" i="1"/>
  <c r="AB279" i="1"/>
  <c r="AC279" i="1"/>
  <c r="BL290" i="1"/>
  <c r="BM290" i="1"/>
  <c r="AB31" i="1"/>
  <c r="AD1276" i="1"/>
  <c r="AC56" i="1"/>
  <c r="AB56" i="1"/>
  <c r="BK69" i="1"/>
  <c r="AC74" i="1"/>
  <c r="AB74" i="1"/>
  <c r="BK105" i="1"/>
  <c r="BM289" i="1"/>
  <c r="BL289" i="1"/>
  <c r="AC322" i="1"/>
  <c r="AB322" i="1"/>
  <c r="AX35" i="1"/>
  <c r="BM36" i="1"/>
  <c r="BL36" i="1"/>
  <c r="AC45" i="1"/>
  <c r="AB45" i="1"/>
  <c r="AX111" i="1"/>
  <c r="AY111" i="1"/>
  <c r="AY278" i="1"/>
  <c r="AX278" i="1"/>
  <c r="AB44" i="1"/>
  <c r="AP50" i="1"/>
  <c r="AQ50" i="1" s="1"/>
  <c r="AP56" i="1"/>
  <c r="AQ56" i="1" s="1"/>
  <c r="BM102" i="1"/>
  <c r="BL102" i="1"/>
  <c r="AC109" i="1"/>
  <c r="AB109" i="1"/>
  <c r="AP174" i="1"/>
  <c r="AQ174" i="1" s="1"/>
  <c r="BL191" i="1"/>
  <c r="BL241" i="1"/>
  <c r="AP269" i="1"/>
  <c r="AQ269" i="1" s="1"/>
  <c r="AP48" i="1"/>
  <c r="AQ48" i="1" s="1"/>
  <c r="AC52" i="1"/>
  <c r="AC55" i="1"/>
  <c r="AB55" i="1"/>
  <c r="AX62" i="1"/>
  <c r="AX63" i="1"/>
  <c r="BM82" i="1"/>
  <c r="BL82" i="1"/>
  <c r="BL90" i="1"/>
  <c r="AP99" i="1"/>
  <c r="AQ99" i="1" s="1"/>
  <c r="AC107" i="1"/>
  <c r="AB107" i="1"/>
  <c r="BK228" i="1"/>
  <c r="AC253" i="1"/>
  <c r="AB253" i="1"/>
  <c r="AB260" i="1"/>
  <c r="AC260" i="1"/>
  <c r="AY276" i="1"/>
  <c r="AX276" i="1"/>
  <c r="BK46" i="1"/>
  <c r="AB51" i="1"/>
  <c r="AQ58" i="1"/>
  <c r="AC68" i="1"/>
  <c r="AP77" i="1"/>
  <c r="AQ77" i="1" s="1"/>
  <c r="AY80" i="1"/>
  <c r="AQ84" i="1"/>
  <c r="BM86" i="1"/>
  <c r="AP94" i="1"/>
  <c r="AQ94" i="1" s="1"/>
  <c r="AB99" i="1"/>
  <c r="BK101" i="1"/>
  <c r="BK103" i="1"/>
  <c r="AC108" i="1"/>
  <c r="AC117" i="1"/>
  <c r="BM118" i="1"/>
  <c r="BK121" i="1"/>
  <c r="BL122" i="1"/>
  <c r="AC125" i="1"/>
  <c r="AC127" i="1"/>
  <c r="AB128" i="1"/>
  <c r="BK131" i="1"/>
  <c r="AY132" i="1"/>
  <c r="AC137" i="1"/>
  <c r="AY142" i="1"/>
  <c r="AP143" i="1"/>
  <c r="AQ143" i="1" s="1"/>
  <c r="AP146" i="1"/>
  <c r="AQ146" i="1" s="1"/>
  <c r="AC147" i="1"/>
  <c r="BK151" i="1"/>
  <c r="BL152" i="1"/>
  <c r="BM159" i="1"/>
  <c r="AY163" i="1"/>
  <c r="BL165" i="1"/>
  <c r="AP169" i="1"/>
  <c r="AQ169" i="1" s="1"/>
  <c r="AP170" i="1"/>
  <c r="AQ170" i="1" s="1"/>
  <c r="AB173" i="1"/>
  <c r="AC173" i="1"/>
  <c r="BL179" i="1"/>
  <c r="AX190" i="1"/>
  <c r="AC195" i="1"/>
  <c r="BL199" i="1"/>
  <c r="AP211" i="1"/>
  <c r="AQ211" i="1" s="1"/>
  <c r="BM212" i="1"/>
  <c r="BK217" i="1"/>
  <c r="AY218" i="1"/>
  <c r="BL226" i="1"/>
  <c r="BL236" i="1"/>
  <c r="AX241" i="1"/>
  <c r="AY245" i="1"/>
  <c r="AC256" i="1"/>
  <c r="AC266" i="1"/>
  <c r="AC269" i="1"/>
  <c r="BM272" i="1"/>
  <c r="AY287" i="1"/>
  <c r="AX287" i="1"/>
  <c r="AP288" i="1"/>
  <c r="AQ288" i="1" s="1"/>
  <c r="AP289" i="1"/>
  <c r="AQ289" i="1" s="1"/>
  <c r="AC306" i="1"/>
  <c r="AC312" i="1"/>
  <c r="AB312" i="1"/>
  <c r="AC313" i="1"/>
  <c r="AB313" i="1"/>
  <c r="BM323" i="1"/>
  <c r="BM345" i="1"/>
  <c r="BL345" i="1"/>
  <c r="AB379" i="1"/>
  <c r="AC379" i="1"/>
  <c r="BL386" i="1"/>
  <c r="AB393" i="1"/>
  <c r="AC393" i="1"/>
  <c r="AP95" i="1"/>
  <c r="AQ95" i="1" s="1"/>
  <c r="AP97" i="1"/>
  <c r="AQ97" i="1" s="1"/>
  <c r="BL132" i="1"/>
  <c r="BK141" i="1"/>
  <c r="BL142" i="1"/>
  <c r="BL163" i="1"/>
  <c r="BM163" i="1"/>
  <c r="AY166" i="1"/>
  <c r="AB172" i="1"/>
  <c r="AC172" i="1"/>
  <c r="BM190" i="1"/>
  <c r="BL190" i="1"/>
  <c r="BK229" i="1"/>
  <c r="BL239" i="1"/>
  <c r="AP242" i="1"/>
  <c r="AQ242" i="1" s="1"/>
  <c r="AC250" i="1"/>
  <c r="AB250" i="1"/>
  <c r="AP254" i="1"/>
  <c r="AQ254" i="1" s="1"/>
  <c r="AP270" i="1"/>
  <c r="BK295" i="1"/>
  <c r="AY317" i="1"/>
  <c r="AX317" i="1"/>
  <c r="AC327" i="1"/>
  <c r="AB327" i="1"/>
  <c r="AC340" i="1"/>
  <c r="AB340" i="1"/>
  <c r="BK361" i="1"/>
  <c r="AC373" i="1"/>
  <c r="AB373" i="1"/>
  <c r="BK386" i="1"/>
  <c r="AP31" i="1"/>
  <c r="AQ31" i="1" s="1"/>
  <c r="BK42" i="1"/>
  <c r="BL44" i="1"/>
  <c r="AX45" i="1"/>
  <c r="AX59" i="1"/>
  <c r="AY67" i="1"/>
  <c r="AX77" i="1"/>
  <c r="AX81" i="1"/>
  <c r="AP100" i="1"/>
  <c r="AQ100" i="1" s="1"/>
  <c r="BK123" i="1"/>
  <c r="AY126" i="1"/>
  <c r="AP137" i="1"/>
  <c r="AQ137" i="1" s="1"/>
  <c r="BL141" i="1"/>
  <c r="AX156" i="1"/>
  <c r="BK165" i="1"/>
  <c r="AQ176" i="1"/>
  <c r="AY193" i="1"/>
  <c r="BK204" i="1"/>
  <c r="AX208" i="1"/>
  <c r="BL229" i="1"/>
  <c r="AX232" i="1"/>
  <c r="AP233" i="1"/>
  <c r="AQ233" i="1" s="1"/>
  <c r="AC236" i="1"/>
  <c r="AB236" i="1"/>
  <c r="AX246" i="1"/>
  <c r="BL298" i="1"/>
  <c r="AY309" i="1"/>
  <c r="AX309" i="1"/>
  <c r="AY310" i="1"/>
  <c r="AX310" i="1"/>
  <c r="AY315" i="1"/>
  <c r="AX315" i="1"/>
  <c r="BM335" i="1"/>
  <c r="BL335" i="1"/>
  <c r="AI339" i="1"/>
  <c r="AP339" i="1" s="1"/>
  <c r="AQ339" i="1" s="1"/>
  <c r="AG339" i="1"/>
  <c r="AY339" i="1" s="1"/>
  <c r="AB366" i="1"/>
  <c r="AC366" i="1"/>
  <c r="AB375" i="1"/>
  <c r="AC375" i="1"/>
  <c r="AP462" i="1"/>
  <c r="AQ462" i="1" s="1"/>
  <c r="AP33" i="1"/>
  <c r="AQ33" i="1" s="1"/>
  <c r="AP38" i="1"/>
  <c r="AQ38" i="1" s="1"/>
  <c r="BK43" i="1"/>
  <c r="AP61" i="1"/>
  <c r="AQ61" i="1" s="1"/>
  <c r="AP71" i="1"/>
  <c r="AQ71" i="1" s="1"/>
  <c r="AQ73" i="1"/>
  <c r="BK75" i="1"/>
  <c r="BK76" i="1"/>
  <c r="AG82" i="1"/>
  <c r="AY82" i="1" s="1"/>
  <c r="AP83" i="1"/>
  <c r="AQ83" i="1" s="1"/>
  <c r="AC87" i="1"/>
  <c r="AY96" i="1"/>
  <c r="AX98" i="1"/>
  <c r="AB103" i="1"/>
  <c r="AB104" i="1"/>
  <c r="AX117" i="1"/>
  <c r="AP118" i="1"/>
  <c r="AQ118" i="1" s="1"/>
  <c r="BL125" i="1"/>
  <c r="AX127" i="1"/>
  <c r="BL135" i="1"/>
  <c r="AX137" i="1"/>
  <c r="BL145" i="1"/>
  <c r="AX147" i="1"/>
  <c r="AP150" i="1"/>
  <c r="AC152" i="1"/>
  <c r="AB154" i="1"/>
  <c r="BM165" i="1"/>
  <c r="BK166" i="1"/>
  <c r="AC180" i="1"/>
  <c r="AP196" i="1"/>
  <c r="AQ196" i="1" s="1"/>
  <c r="AC200" i="1"/>
  <c r="BL210" i="1"/>
  <c r="AC213" i="1"/>
  <c r="AC227" i="1"/>
  <c r="BL240" i="1"/>
  <c r="AP248" i="1"/>
  <c r="AQ248" i="1" s="1"/>
  <c r="AP257" i="1"/>
  <c r="AQ257" i="1" s="1"/>
  <c r="AX262" i="1"/>
  <c r="BL264" i="1"/>
  <c r="AY268" i="1"/>
  <c r="AY270" i="1"/>
  <c r="AB274" i="1"/>
  <c r="BK282" i="1"/>
  <c r="BL287" i="1"/>
  <c r="BK289" i="1"/>
  <c r="AB292" i="1"/>
  <c r="AC292" i="1"/>
  <c r="BK297" i="1"/>
  <c r="BK299" i="1"/>
  <c r="BK300" i="1"/>
  <c r="AY308" i="1"/>
  <c r="AX308" i="1"/>
  <c r="AC321" i="1"/>
  <c r="AP330" i="1"/>
  <c r="AQ330" i="1" s="1"/>
  <c r="BK337" i="1"/>
  <c r="AC363" i="1"/>
  <c r="AB371" i="1"/>
  <c r="AC371" i="1"/>
  <c r="AX372" i="1"/>
  <c r="AY372" i="1"/>
  <c r="BM398" i="1"/>
  <c r="BL398" i="1"/>
  <c r="BL81" i="1"/>
  <c r="BK84" i="1"/>
  <c r="AP86" i="1"/>
  <c r="AQ86" i="1" s="1"/>
  <c r="AP90" i="1"/>
  <c r="AQ90" i="1" s="1"/>
  <c r="BK97" i="1"/>
  <c r="BK106" i="1"/>
  <c r="AG115" i="1"/>
  <c r="AX115" i="1" s="1"/>
  <c r="AQ129" i="1"/>
  <c r="BK168" i="1"/>
  <c r="BK183" i="1"/>
  <c r="BK194" i="1"/>
  <c r="AY197" i="1"/>
  <c r="AP214" i="1"/>
  <c r="AQ214" i="1" s="1"/>
  <c r="AX215" i="1"/>
  <c r="BM239" i="1"/>
  <c r="AY256" i="1"/>
  <c r="BL257" i="1"/>
  <c r="BK261" i="1"/>
  <c r="BL263" i="1"/>
  <c r="AP273" i="1"/>
  <c r="AQ273" i="1" s="1"/>
  <c r="BL283" i="1"/>
  <c r="AP308" i="1"/>
  <c r="AQ308" i="1" s="1"/>
  <c r="BK343" i="1"/>
  <c r="AX362" i="1"/>
  <c r="AY362" i="1"/>
  <c r="AP364" i="1"/>
  <c r="AB218" i="1"/>
  <c r="AC218" i="1"/>
  <c r="AB299" i="1"/>
  <c r="AC299" i="1"/>
  <c r="BM324" i="1"/>
  <c r="BL324" i="1"/>
  <c r="AX365" i="1"/>
  <c r="AY365" i="1"/>
  <c r="AC438" i="1"/>
  <c r="AB438" i="1"/>
  <c r="BK57" i="1"/>
  <c r="BL61" i="1"/>
  <c r="BK77" i="1"/>
  <c r="BL89" i="1"/>
  <c r="AP92" i="1"/>
  <c r="AQ92" i="1" s="1"/>
  <c r="BK96" i="1"/>
  <c r="BK99" i="1"/>
  <c r="AB111" i="1"/>
  <c r="BK128" i="1"/>
  <c r="AC132" i="1"/>
  <c r="BK134" i="1"/>
  <c r="AP139" i="1"/>
  <c r="AQ139" i="1" s="1"/>
  <c r="AC142" i="1"/>
  <c r="BK157" i="1"/>
  <c r="AB163" i="1"/>
  <c r="AC165" i="1"/>
  <c r="BL171" i="1"/>
  <c r="BL176" i="1"/>
  <c r="AP200" i="1"/>
  <c r="AQ200" i="1" s="1"/>
  <c r="AC206" i="1"/>
  <c r="AP227" i="1"/>
  <c r="AQ227" i="1" s="1"/>
  <c r="AP229" i="1"/>
  <c r="AQ229" i="1" s="1"/>
  <c r="AP237" i="1"/>
  <c r="AQ237" i="1" s="1"/>
  <c r="AC239" i="1"/>
  <c r="AP253" i="1"/>
  <c r="AQ253" i="1" s="1"/>
  <c r="AO260" i="1"/>
  <c r="AP260" i="1" s="1"/>
  <c r="AQ260" i="1" s="1"/>
  <c r="BK268" i="1"/>
  <c r="BL278" i="1"/>
  <c r="BK287" i="1"/>
  <c r="AP294" i="1"/>
  <c r="AQ294" i="1" s="1"/>
  <c r="BK316" i="1"/>
  <c r="BL330" i="1"/>
  <c r="AP333" i="1"/>
  <c r="AQ333" i="1" s="1"/>
  <c r="AY342" i="1"/>
  <c r="AX342" i="1"/>
  <c r="AP387" i="1"/>
  <c r="AQ387" i="1" s="1"/>
  <c r="AY433" i="1"/>
  <c r="AX433" i="1"/>
  <c r="AC467" i="1"/>
  <c r="AB467" i="1"/>
  <c r="AB281" i="1"/>
  <c r="AC281" i="1"/>
  <c r="BM293" i="1"/>
  <c r="BL293" i="1"/>
  <c r="AC305" i="1"/>
  <c r="AB305" i="1"/>
  <c r="BL332" i="1"/>
  <c r="BM332" i="1"/>
  <c r="AC344" i="1"/>
  <c r="AB344" i="1"/>
  <c r="BL373" i="1"/>
  <c r="BM373" i="1"/>
  <c r="AP414" i="1"/>
  <c r="AQ414" i="1" s="1"/>
  <c r="AX444" i="1"/>
  <c r="AY444" i="1"/>
  <c r="AY466" i="1"/>
  <c r="AX466" i="1"/>
  <c r="AP497" i="1"/>
  <c r="AQ497" i="1" s="1"/>
  <c r="BM520" i="1"/>
  <c r="BL520" i="1"/>
  <c r="BK98" i="1"/>
  <c r="AY121" i="1"/>
  <c r="AY131" i="1"/>
  <c r="AX141" i="1"/>
  <c r="AB167" i="1"/>
  <c r="AB168" i="1"/>
  <c r="AB170" i="1"/>
  <c r="BK172" i="1"/>
  <c r="AB183" i="1"/>
  <c r="AC183" i="1"/>
  <c r="AC184" i="1"/>
  <c r="AC186" i="1"/>
  <c r="AB192" i="1"/>
  <c r="AB219" i="1"/>
  <c r="AX229" i="1"/>
  <c r="AB231" i="1"/>
  <c r="AB242" i="1"/>
  <c r="BL250" i="1"/>
  <c r="BL251" i="1"/>
  <c r="BM251" i="1"/>
  <c r="BK256" i="1"/>
  <c r="AB264" i="1"/>
  <c r="BK266" i="1"/>
  <c r="BL274" i="1"/>
  <c r="AC283" i="1"/>
  <c r="AB285" i="1"/>
  <c r="AC289" i="1"/>
  <c r="AB291" i="1"/>
  <c r="BK318" i="1"/>
  <c r="AC337" i="1"/>
  <c r="AB337" i="1"/>
  <c r="AG337" i="1"/>
  <c r="AX337" i="1" s="1"/>
  <c r="AP338" i="1"/>
  <c r="AQ338" i="1" s="1"/>
  <c r="AX346" i="1"/>
  <c r="BK33" i="1"/>
  <c r="BK36" i="1"/>
  <c r="BK38" i="1"/>
  <c r="BK60" i="1"/>
  <c r="BK62" i="1"/>
  <c r="BK70" i="1"/>
  <c r="BK72" i="1"/>
  <c r="AP75" i="1"/>
  <c r="AQ75" i="1" s="1"/>
  <c r="AB77" i="1"/>
  <c r="BK82" i="1"/>
  <c r="AX93" i="1"/>
  <c r="AB95" i="1"/>
  <c r="BK102" i="1"/>
  <c r="BL120" i="1"/>
  <c r="AX122" i="1"/>
  <c r="AQ123" i="1"/>
  <c r="BL130" i="1"/>
  <c r="AP132" i="1"/>
  <c r="AQ132" i="1" s="1"/>
  <c r="BL138" i="1"/>
  <c r="BK149" i="1"/>
  <c r="BL150" i="1"/>
  <c r="BK152" i="1"/>
  <c r="BL153" i="1"/>
  <c r="BK159" i="1"/>
  <c r="AP164" i="1"/>
  <c r="AQ164" i="1" s="1"/>
  <c r="AB169" i="1"/>
  <c r="AP188" i="1"/>
  <c r="AQ188" i="1" s="1"/>
  <c r="AC193" i="1"/>
  <c r="AB194" i="1"/>
  <c r="BK196" i="1"/>
  <c r="BL197" i="1"/>
  <c r="AX203" i="1"/>
  <c r="AP204" i="1"/>
  <c r="AQ204" i="1" s="1"/>
  <c r="BL215" i="1"/>
  <c r="BL220" i="1"/>
  <c r="BL221" i="1"/>
  <c r="BL235" i="1"/>
  <c r="BK236" i="1"/>
  <c r="AQ238" i="1"/>
  <c r="AP245" i="1"/>
  <c r="AQ245" i="1" s="1"/>
  <c r="AB246" i="1"/>
  <c r="BL248" i="1"/>
  <c r="BK250" i="1"/>
  <c r="BM257" i="1"/>
  <c r="BK258" i="1"/>
  <c r="BM263" i="1"/>
  <c r="AB265" i="1"/>
  <c r="AB268" i="1"/>
  <c r="BL275" i="1"/>
  <c r="AB286" i="1"/>
  <c r="AB288" i="1"/>
  <c r="AX289" i="1"/>
  <c r="AY289" i="1"/>
  <c r="AB290" i="1"/>
  <c r="AB302" i="1"/>
  <c r="AC302" i="1"/>
  <c r="BL326" i="1"/>
  <c r="AP337" i="1"/>
  <c r="AQ337" i="1" s="1"/>
  <c r="AQ65" i="1"/>
  <c r="BL73" i="1"/>
  <c r="AQ112" i="1"/>
  <c r="BL148" i="1"/>
  <c r="BM176" i="1"/>
  <c r="BL178" i="1"/>
  <c r="AP185" i="1"/>
  <c r="AQ185" i="1" s="1"/>
  <c r="BM269" i="1"/>
  <c r="BM278" i="1"/>
  <c r="AP301" i="1"/>
  <c r="AQ301" i="1" s="1"/>
  <c r="BL306" i="1"/>
  <c r="AY345" i="1"/>
  <c r="AX399" i="1"/>
  <c r="AY399" i="1"/>
  <c r="BK380" i="1"/>
  <c r="BK416" i="1"/>
  <c r="AP455" i="1"/>
  <c r="AQ455" i="1" s="1"/>
  <c r="AP464" i="1"/>
  <c r="AQ464" i="1" s="1"/>
  <c r="BK341" i="1"/>
  <c r="BL372" i="1"/>
  <c r="AY389" i="1"/>
  <c r="AX389" i="1"/>
  <c r="AX390" i="1"/>
  <c r="AY390" i="1"/>
  <c r="AP456" i="1"/>
  <c r="AQ456" i="1" s="1"/>
  <c r="BM473" i="1"/>
  <c r="BL473" i="1"/>
  <c r="AP284" i="1"/>
  <c r="AQ284" i="1" s="1"/>
  <c r="BK298" i="1"/>
  <c r="BL299" i="1"/>
  <c r="AP304" i="1"/>
  <c r="AQ304" i="1" s="1"/>
  <c r="BK312" i="1"/>
  <c r="BK322" i="1"/>
  <c r="BK344" i="1"/>
  <c r="AX351" i="1"/>
  <c r="BL361" i="1"/>
  <c r="BL366" i="1"/>
  <c r="BM368" i="1"/>
  <c r="BL368" i="1"/>
  <c r="BL388" i="1"/>
  <c r="BK436" i="1"/>
  <c r="AY439" i="1"/>
  <c r="AX439" i="1"/>
  <c r="BM504" i="1"/>
  <c r="BL504" i="1"/>
  <c r="AY302" i="1"/>
  <c r="AX302" i="1"/>
  <c r="BK309" i="1"/>
  <c r="BK317" i="1"/>
  <c r="BL344" i="1"/>
  <c r="BL349" i="1"/>
  <c r="AX353" i="1"/>
  <c r="AG356" i="1"/>
  <c r="AY356" i="1" s="1"/>
  <c r="AI356" i="1"/>
  <c r="AP356" i="1" s="1"/>
  <c r="AQ356" i="1" s="1"/>
  <c r="BM372" i="1"/>
  <c r="AX404" i="1"/>
  <c r="AY404" i="1"/>
  <c r="BK423" i="1"/>
  <c r="BM458" i="1"/>
  <c r="BL458" i="1"/>
  <c r="BL167" i="1"/>
  <c r="BL168" i="1"/>
  <c r="BK175" i="1"/>
  <c r="BK178" i="1"/>
  <c r="BK179" i="1"/>
  <c r="BL180" i="1"/>
  <c r="AO181" i="1"/>
  <c r="AP181" i="1" s="1"/>
  <c r="AQ181" i="1" s="1"/>
  <c r="BK201" i="1"/>
  <c r="BK202" i="1"/>
  <c r="BK215" i="1"/>
  <c r="BK230" i="1"/>
  <c r="BK241" i="1"/>
  <c r="BL242" i="1"/>
  <c r="BL266" i="1"/>
  <c r="AX294" i="1"/>
  <c r="BK304" i="1"/>
  <c r="AP306" i="1"/>
  <c r="AQ306" i="1" s="1"/>
  <c r="AP345" i="1"/>
  <c r="AQ345" i="1" s="1"/>
  <c r="AY359" i="1"/>
  <c r="AX359" i="1"/>
  <c r="AP361" i="1"/>
  <c r="AQ361" i="1" s="1"/>
  <c r="AC369" i="1"/>
  <c r="AB369" i="1"/>
  <c r="AP372" i="1"/>
  <c r="AQ372" i="1" s="1"/>
  <c r="AY378" i="1"/>
  <c r="AX378" i="1"/>
  <c r="AC392" i="1"/>
  <c r="AB392" i="1"/>
  <c r="AP400" i="1"/>
  <c r="AQ400" i="1" s="1"/>
  <c r="BM409" i="1"/>
  <c r="BL409" i="1"/>
  <c r="AC475" i="1"/>
  <c r="AY495" i="1"/>
  <c r="AX495" i="1"/>
  <c r="BK276" i="1"/>
  <c r="BM341" i="1"/>
  <c r="BL341" i="1"/>
  <c r="AP343" i="1"/>
  <c r="AQ343" i="1" s="1"/>
  <c r="AP359" i="1"/>
  <c r="AQ359" i="1" s="1"/>
  <c r="AP376" i="1"/>
  <c r="AQ376" i="1" s="1"/>
  <c r="AP383" i="1"/>
  <c r="AQ383" i="1" s="1"/>
  <c r="AB391" i="1"/>
  <c r="AC391" i="1"/>
  <c r="BL401" i="1"/>
  <c r="BM401" i="1"/>
  <c r="AX443" i="1"/>
  <c r="AY443" i="1"/>
  <c r="BK489" i="1"/>
  <c r="BM506" i="1"/>
  <c r="BL506" i="1"/>
  <c r="AP506" i="1"/>
  <c r="AQ506" i="1" s="1"/>
  <c r="AC508" i="1"/>
  <c r="AB508" i="1"/>
  <c r="AY519" i="1"/>
  <c r="AX519" i="1"/>
  <c r="AB541" i="1"/>
  <c r="AC541" i="1"/>
  <c r="AP568" i="1"/>
  <c r="AQ568" i="1" s="1"/>
  <c r="AP315" i="1"/>
  <c r="AQ315" i="1" s="1"/>
  <c r="AP316" i="1"/>
  <c r="AQ316" i="1" s="1"/>
  <c r="AP322" i="1"/>
  <c r="AQ322" i="1" s="1"/>
  <c r="BK332" i="1"/>
  <c r="BK351" i="1"/>
  <c r="AY358" i="1"/>
  <c r="BL363" i="1"/>
  <c r="AP371" i="1"/>
  <c r="AQ371" i="1" s="1"/>
  <c r="AY384" i="1"/>
  <c r="BK393" i="1"/>
  <c r="BK395" i="1"/>
  <c r="AP404" i="1"/>
  <c r="BK428" i="1"/>
  <c r="AC439" i="1"/>
  <c r="AC444" i="1"/>
  <c r="BK445" i="1"/>
  <c r="BK447" i="1"/>
  <c r="AX457" i="1"/>
  <c r="BL460" i="1"/>
  <c r="BL471" i="1"/>
  <c r="AP474" i="1"/>
  <c r="AQ474" i="1" s="1"/>
  <c r="BL478" i="1"/>
  <c r="BK487" i="1"/>
  <c r="AB496" i="1"/>
  <c r="AP500" i="1"/>
  <c r="AQ500" i="1" s="1"/>
  <c r="BL521" i="1"/>
  <c r="AB527" i="1"/>
  <c r="BK555" i="1"/>
  <c r="BL557" i="1"/>
  <c r="BL601" i="1"/>
  <c r="BM601" i="1"/>
  <c r="BL307" i="1"/>
  <c r="BK394" i="1"/>
  <c r="BL395" i="1"/>
  <c r="BK398" i="1"/>
  <c r="BL400" i="1"/>
  <c r="BM400" i="1"/>
  <c r="AX402" i="1"/>
  <c r="BK409" i="1"/>
  <c r="AP426" i="1"/>
  <c r="AQ426" i="1" s="1"/>
  <c r="BL428" i="1"/>
  <c r="AP466" i="1"/>
  <c r="AQ466" i="1" s="1"/>
  <c r="AC468" i="1"/>
  <c r="AB468" i="1"/>
  <c r="BL472" i="1"/>
  <c r="AP476" i="1"/>
  <c r="AQ476" i="1" s="1"/>
  <c r="AX511" i="1"/>
  <c r="AY513" i="1"/>
  <c r="AY516" i="1"/>
  <c r="AP518" i="1"/>
  <c r="AQ518" i="1" s="1"/>
  <c r="BL535" i="1"/>
  <c r="AC546" i="1"/>
  <c r="AB546" i="1"/>
  <c r="BM552" i="1"/>
  <c r="BL552" i="1"/>
  <c r="AC559" i="1"/>
  <c r="AB559" i="1"/>
  <c r="AP586" i="1"/>
  <c r="AQ586" i="1" s="1"/>
  <c r="AC623" i="1"/>
  <c r="AB623" i="1"/>
  <c r="AB829" i="1"/>
  <c r="AC829" i="1"/>
  <c r="AP303" i="1"/>
  <c r="AQ303" i="1" s="1"/>
  <c r="BK306" i="1"/>
  <c r="AX319" i="1"/>
  <c r="AP360" i="1"/>
  <c r="AC361" i="1"/>
  <c r="BL376" i="1"/>
  <c r="AC382" i="1"/>
  <c r="BK387" i="1"/>
  <c r="BK388" i="1"/>
  <c r="AY413" i="1"/>
  <c r="AB416" i="1"/>
  <c r="BK429" i="1"/>
  <c r="AB445" i="1"/>
  <c r="AC446" i="1"/>
  <c r="AB446" i="1"/>
  <c r="AY465" i="1"/>
  <c r="AX474" i="1"/>
  <c r="AB475" i="1"/>
  <c r="AQ492" i="1"/>
  <c r="BK520" i="1"/>
  <c r="AQ550" i="1"/>
  <c r="BL553" i="1"/>
  <c r="BK554" i="1"/>
  <c r="AC557" i="1"/>
  <c r="AB565" i="1"/>
  <c r="AC651" i="1"/>
  <c r="AB651" i="1"/>
  <c r="AC734" i="1"/>
  <c r="AB734" i="1"/>
  <c r="BM764" i="1"/>
  <c r="BL764" i="1"/>
  <c r="AC780" i="1"/>
  <c r="AB780" i="1"/>
  <c r="AP820" i="1"/>
  <c r="AQ820" i="1" s="1"/>
  <c r="AP297" i="1"/>
  <c r="AQ297" i="1" s="1"/>
  <c r="BK301" i="1"/>
  <c r="AP349" i="1"/>
  <c r="AQ349" i="1" s="1"/>
  <c r="BK354" i="1"/>
  <c r="AP357" i="1"/>
  <c r="AQ357" i="1" s="1"/>
  <c r="AP379" i="1"/>
  <c r="AQ379" i="1" s="1"/>
  <c r="AC381" i="1"/>
  <c r="AP393" i="1"/>
  <c r="AQ393" i="1" s="1"/>
  <c r="BK411" i="1"/>
  <c r="BM413" i="1"/>
  <c r="BL413" i="1"/>
  <c r="AP415" i="1"/>
  <c r="AQ415" i="1" s="1"/>
  <c r="BK420" i="1"/>
  <c r="BL426" i="1"/>
  <c r="BM426" i="1"/>
  <c r="AP440" i="1"/>
  <c r="AQ440" i="1" s="1"/>
  <c r="BM460" i="1"/>
  <c r="AY464" i="1"/>
  <c r="BL465" i="1"/>
  <c r="BK472" i="1"/>
  <c r="AB489" i="1"/>
  <c r="AC489" i="1"/>
  <c r="AC490" i="1"/>
  <c r="AB490" i="1"/>
  <c r="BL496" i="1"/>
  <c r="BM525" i="1"/>
  <c r="BL525" i="1"/>
  <c r="AP545" i="1"/>
  <c r="AQ545" i="1" s="1"/>
  <c r="AB715" i="1"/>
  <c r="AC715" i="1"/>
  <c r="BK402" i="1"/>
  <c r="BK410" i="1"/>
  <c r="BK425" i="1"/>
  <c r="BK433" i="1"/>
  <c r="AY470" i="1"/>
  <c r="AX470" i="1"/>
  <c r="AI475" i="1"/>
  <c r="AP475" i="1" s="1"/>
  <c r="AQ475" i="1" s="1"/>
  <c r="AG475" i="1"/>
  <c r="AY475" i="1" s="1"/>
  <c r="AP583" i="1"/>
  <c r="AQ583" i="1" s="1"/>
  <c r="BM438" i="1"/>
  <c r="BL438" i="1"/>
  <c r="BM451" i="1"/>
  <c r="BL451" i="1"/>
  <c r="AC571" i="1"/>
  <c r="AB571" i="1"/>
  <c r="AY595" i="1"/>
  <c r="AX595" i="1"/>
  <c r="AC666" i="1"/>
  <c r="AB666" i="1"/>
  <c r="BM705" i="1"/>
  <c r="BL705" i="1"/>
  <c r="BK372" i="1"/>
  <c r="BK384" i="1"/>
  <c r="AP386" i="1"/>
  <c r="AQ386" i="1" s="1"/>
  <c r="AC388" i="1"/>
  <c r="AY409" i="1"/>
  <c r="AX409" i="1"/>
  <c r="BL446" i="1"/>
  <c r="AP448" i="1"/>
  <c r="AQ448" i="1" s="1"/>
  <c r="AB458" i="1"/>
  <c r="BK466" i="1"/>
  <c r="AP469" i="1"/>
  <c r="AQ469" i="1" s="1"/>
  <c r="AP478" i="1"/>
  <c r="AQ478" i="1" s="1"/>
  <c r="AY485" i="1"/>
  <c r="AX485" i="1"/>
  <c r="BM494" i="1"/>
  <c r="BL494" i="1"/>
  <c r="AY521" i="1"/>
  <c r="AX521" i="1"/>
  <c r="BL538" i="1"/>
  <c r="AB562" i="1"/>
  <c r="AC562" i="1"/>
  <c r="AO577" i="1"/>
  <c r="AY422" i="1"/>
  <c r="AX422" i="1"/>
  <c r="BM436" i="1"/>
  <c r="BL436" i="1"/>
  <c r="BL437" i="1"/>
  <c r="BM437" i="1"/>
  <c r="BM491" i="1"/>
  <c r="BL491" i="1"/>
  <c r="AC501" i="1"/>
  <c r="AB501" i="1"/>
  <c r="AC512" i="1"/>
  <c r="AB512" i="1"/>
  <c r="BL523" i="1"/>
  <c r="BM523" i="1"/>
  <c r="AC570" i="1"/>
  <c r="AB570" i="1"/>
  <c r="AP696" i="1"/>
  <c r="AQ696" i="1" s="1"/>
  <c r="BK349" i="1"/>
  <c r="BK350" i="1"/>
  <c r="BL408" i="1"/>
  <c r="BK414" i="1"/>
  <c r="BM418" i="1"/>
  <c r="BL418" i="1"/>
  <c r="AP419" i="1"/>
  <c r="AQ419" i="1" s="1"/>
  <c r="AC420" i="1"/>
  <c r="AX428" i="1"/>
  <c r="BK442" i="1"/>
  <c r="BM443" i="1"/>
  <c r="BL449" i="1"/>
  <c r="AY461" i="1"/>
  <c r="AX461" i="1"/>
  <c r="BL469" i="1"/>
  <c r="AX477" i="1"/>
  <c r="AX484" i="1"/>
  <c r="AY487" i="1"/>
  <c r="AC506" i="1"/>
  <c r="AC507" i="1"/>
  <c r="AB513" i="1"/>
  <c r="AC514" i="1"/>
  <c r="AX522" i="1"/>
  <c r="BL540" i="1"/>
  <c r="BL549" i="1"/>
  <c r="AY570" i="1"/>
  <c r="AX570" i="1"/>
  <c r="AP589" i="1"/>
  <c r="AQ589" i="1" s="1"/>
  <c r="AP402" i="1"/>
  <c r="AQ402" i="1" s="1"/>
  <c r="BK415" i="1"/>
  <c r="AC426" i="1"/>
  <c r="BK449" i="1"/>
  <c r="AP459" i="1"/>
  <c r="AQ459" i="1" s="1"/>
  <c r="AP461" i="1"/>
  <c r="AQ461" i="1" s="1"/>
  <c r="BK479" i="1"/>
  <c r="BL489" i="1"/>
  <c r="BM489" i="1"/>
  <c r="BK491" i="1"/>
  <c r="AY507" i="1"/>
  <c r="AX507" i="1"/>
  <c r="BK523" i="1"/>
  <c r="BL555" i="1"/>
  <c r="BM555" i="1"/>
  <c r="BK558" i="1"/>
  <c r="BM608" i="1"/>
  <c r="BL608" i="1"/>
  <c r="AY639" i="1"/>
  <c r="AX639" i="1"/>
  <c r="AC646" i="1"/>
  <c r="AG646" i="1"/>
  <c r="AY685" i="1"/>
  <c r="AX685" i="1"/>
  <c r="BK503" i="1"/>
  <c r="AP513" i="1"/>
  <c r="AQ513" i="1" s="1"/>
  <c r="BL518" i="1"/>
  <c r="BL528" i="1"/>
  <c r="BK532" i="1"/>
  <c r="BK548" i="1"/>
  <c r="BL550" i="1"/>
  <c r="AP574" i="1"/>
  <c r="AQ574" i="1" s="1"/>
  <c r="AX578" i="1"/>
  <c r="AP580" i="1"/>
  <c r="AQ580" i="1" s="1"/>
  <c r="BK592" i="1"/>
  <c r="BK598" i="1"/>
  <c r="AP602" i="1"/>
  <c r="AQ602" i="1" s="1"/>
  <c r="AC603" i="1"/>
  <c r="AP606" i="1"/>
  <c r="AQ606" i="1" s="1"/>
  <c r="BK616" i="1"/>
  <c r="BK623" i="1"/>
  <c r="BK640" i="1"/>
  <c r="AB645" i="1"/>
  <c r="AC649" i="1"/>
  <c r="BK651" i="1"/>
  <c r="AP656" i="1"/>
  <c r="AQ656" i="1" s="1"/>
  <c r="AC659" i="1"/>
  <c r="BM661" i="1"/>
  <c r="BL661" i="1"/>
  <c r="AP663" i="1"/>
  <c r="AQ663" i="1" s="1"/>
  <c r="AB673" i="1"/>
  <c r="AC673" i="1"/>
  <c r="AB675" i="1"/>
  <c r="AC675" i="1"/>
  <c r="AP676" i="1"/>
  <c r="AQ676" i="1" s="1"/>
  <c r="BM681" i="1"/>
  <c r="BL681" i="1"/>
  <c r="AP743" i="1"/>
  <c r="AQ743" i="1" s="1"/>
  <c r="BM751" i="1"/>
  <c r="BL751" i="1"/>
  <c r="AQ787" i="1"/>
  <c r="AP815" i="1"/>
  <c r="AQ815" i="1" s="1"/>
  <c r="BM842" i="1"/>
  <c r="BL842" i="1"/>
  <c r="AP564" i="1"/>
  <c r="AQ564" i="1" s="1"/>
  <c r="BL567" i="1"/>
  <c r="BK591" i="1"/>
  <c r="AX605" i="1"/>
  <c r="AY606" i="1"/>
  <c r="AY611" i="1"/>
  <c r="AP614" i="1"/>
  <c r="AQ614" i="1" s="1"/>
  <c r="BK654" i="1"/>
  <c r="AY659" i="1"/>
  <c r="AP773" i="1"/>
  <c r="AQ773" i="1" s="1"/>
  <c r="BM774" i="1"/>
  <c r="BL774" i="1"/>
  <c r="AC830" i="1"/>
  <c r="AB830" i="1"/>
  <c r="BL886" i="1"/>
  <c r="BM886" i="1"/>
  <c r="BK400" i="1"/>
  <c r="BK457" i="1"/>
  <c r="BL526" i="1"/>
  <c r="BK538" i="1"/>
  <c r="AP571" i="1"/>
  <c r="AQ571" i="1" s="1"/>
  <c r="AX580" i="1"/>
  <c r="AY581" i="1"/>
  <c r="AX602" i="1"/>
  <c r="AG603" i="1"/>
  <c r="AY619" i="1"/>
  <c r="AX619" i="1"/>
  <c r="BM624" i="1"/>
  <c r="AI635" i="1"/>
  <c r="AP635" i="1" s="1"/>
  <c r="AQ635" i="1" s="1"/>
  <c r="AG635" i="1"/>
  <c r="AY635" i="1" s="1"/>
  <c r="AX642" i="1"/>
  <c r="AP644" i="1"/>
  <c r="AQ644" i="1" s="1"/>
  <c r="AB647" i="1"/>
  <c r="AC647" i="1"/>
  <c r="AX657" i="1"/>
  <c r="AX676" i="1"/>
  <c r="BL703" i="1"/>
  <c r="BM703" i="1"/>
  <c r="BM711" i="1"/>
  <c r="AB719" i="1"/>
  <c r="AC719" i="1"/>
  <c r="BM850" i="1"/>
  <c r="BL850" i="1"/>
  <c r="BM882" i="1"/>
  <c r="BL882" i="1"/>
  <c r="AB429" i="1"/>
  <c r="BK494" i="1"/>
  <c r="AO498" i="1"/>
  <c r="AX500" i="1"/>
  <c r="AB509" i="1"/>
  <c r="BL510" i="1"/>
  <c r="AX515" i="1"/>
  <c r="AC518" i="1"/>
  <c r="BM528" i="1"/>
  <c r="AB549" i="1"/>
  <c r="BM550" i="1"/>
  <c r="AX561" i="1"/>
  <c r="BM563" i="1"/>
  <c r="BL563" i="1"/>
  <c r="AB593" i="1"/>
  <c r="AQ595" i="1"/>
  <c r="AB598" i="1"/>
  <c r="AC621" i="1"/>
  <c r="AB624" i="1"/>
  <c r="BL631" i="1"/>
  <c r="AX638" i="1"/>
  <c r="AX644" i="1"/>
  <c r="AP651" i="1"/>
  <c r="AQ651" i="1" s="1"/>
  <c r="AB652" i="1"/>
  <c r="BM658" i="1"/>
  <c r="BL658" i="1"/>
  <c r="AP665" i="1"/>
  <c r="AQ665" i="1" s="1"/>
  <c r="AY733" i="1"/>
  <c r="AX733" i="1"/>
  <c r="BK459" i="1"/>
  <c r="AP472" i="1"/>
  <c r="AQ472" i="1" s="1"/>
  <c r="AB478" i="1"/>
  <c r="AB480" i="1"/>
  <c r="AC481" i="1"/>
  <c r="BK483" i="1"/>
  <c r="AB504" i="1"/>
  <c r="AB505" i="1"/>
  <c r="AP508" i="1"/>
  <c r="AQ508" i="1" s="1"/>
  <c r="BL515" i="1"/>
  <c r="AC525" i="1"/>
  <c r="AC530" i="1"/>
  <c r="AQ533" i="1"/>
  <c r="BK536" i="1"/>
  <c r="AC550" i="1"/>
  <c r="AP556" i="1"/>
  <c r="AQ556" i="1" s="1"/>
  <c r="BM567" i="1"/>
  <c r="BK610" i="1"/>
  <c r="AB617" i="1"/>
  <c r="AP618" i="1"/>
  <c r="AQ618" i="1" s="1"/>
  <c r="BK643" i="1"/>
  <c r="AP647" i="1"/>
  <c r="AQ647" i="1" s="1"/>
  <c r="BL675" i="1"/>
  <c r="BM675" i="1"/>
  <c r="AC713" i="1"/>
  <c r="AB713" i="1"/>
  <c r="AP720" i="1"/>
  <c r="AQ720" i="1" s="1"/>
  <c r="AC797" i="1"/>
  <c r="AB797" i="1"/>
  <c r="AP803" i="1"/>
  <c r="AQ803" i="1" s="1"/>
  <c r="BM819" i="1"/>
  <c r="BL819" i="1"/>
  <c r="AX617" i="1"/>
  <c r="AY617" i="1"/>
  <c r="BL736" i="1"/>
  <c r="BM736" i="1"/>
  <c r="AY753" i="1"/>
  <c r="AX753" i="1"/>
  <c r="AC859" i="1"/>
  <c r="AB859" i="1"/>
  <c r="AY903" i="1"/>
  <c r="AX903" i="1"/>
  <c r="BK498" i="1"/>
  <c r="BK500" i="1"/>
  <c r="AP531" i="1"/>
  <c r="AQ531" i="1" s="1"/>
  <c r="BK534" i="1"/>
  <c r="BL545" i="1"/>
  <c r="AP548" i="1"/>
  <c r="AQ548" i="1" s="1"/>
  <c r="BK560" i="1"/>
  <c r="BK582" i="1"/>
  <c r="BK585" i="1"/>
  <c r="AX586" i="1"/>
  <c r="BK589" i="1"/>
  <c r="AY592" i="1"/>
  <c r="AX592" i="1"/>
  <c r="AC605" i="1"/>
  <c r="AP616" i="1"/>
  <c r="AQ616" i="1" s="1"/>
  <c r="BK634" i="1"/>
  <c r="AB656" i="1"/>
  <c r="AB662" i="1"/>
  <c r="BL684" i="1"/>
  <c r="BM684" i="1"/>
  <c r="BL686" i="1"/>
  <c r="BK689" i="1"/>
  <c r="AY709" i="1"/>
  <c r="AX709" i="1"/>
  <c r="AY712" i="1"/>
  <c r="AX712" i="1"/>
  <c r="AP718" i="1"/>
  <c r="AQ718" i="1" s="1"/>
  <c r="AB790" i="1"/>
  <c r="AC790" i="1"/>
  <c r="AC572" i="1"/>
  <c r="AP629" i="1"/>
  <c r="AQ629" i="1" s="1"/>
  <c r="BM650" i="1"/>
  <c r="BL650" i="1"/>
  <c r="AC678" i="1"/>
  <c r="AB678" i="1"/>
  <c r="BM683" i="1"/>
  <c r="BL683" i="1"/>
  <c r="AC724" i="1"/>
  <c r="AB724" i="1"/>
  <c r="AB729" i="1"/>
  <c r="AC729" i="1"/>
  <c r="AY747" i="1"/>
  <c r="AX747" i="1"/>
  <c r="AP752" i="1"/>
  <c r="AQ752" i="1" s="1"/>
  <c r="AP796" i="1"/>
  <c r="AQ796" i="1" s="1"/>
  <c r="BM845" i="1"/>
  <c r="BL845" i="1"/>
  <c r="AP519" i="1"/>
  <c r="AQ519" i="1" s="1"/>
  <c r="AP521" i="1"/>
  <c r="AQ521" i="1" s="1"/>
  <c r="BK533" i="1"/>
  <c r="BL547" i="1"/>
  <c r="AB574" i="1"/>
  <c r="AP578" i="1"/>
  <c r="AQ578" i="1" s="1"/>
  <c r="AC579" i="1"/>
  <c r="AC607" i="1"/>
  <c r="AC612" i="1"/>
  <c r="BK614" i="1"/>
  <c r="AP624" i="1"/>
  <c r="AQ624" i="1" s="1"/>
  <c r="AB634" i="1"/>
  <c r="AB637" i="1"/>
  <c r="BK664" i="1"/>
  <c r="AC700" i="1"/>
  <c r="AC701" i="1"/>
  <c r="AB701" i="1"/>
  <c r="AC704" i="1"/>
  <c r="AB704" i="1"/>
  <c r="BM714" i="1"/>
  <c r="BL714" i="1"/>
  <c r="AY723" i="1"/>
  <c r="AX723" i="1"/>
  <c r="BK864" i="1"/>
  <c r="AY608" i="1"/>
  <c r="AX608" i="1"/>
  <c r="AQ632" i="1"/>
  <c r="BM652" i="1"/>
  <c r="BL652" i="1"/>
  <c r="AB663" i="1"/>
  <c r="AC663" i="1"/>
  <c r="AC691" i="1"/>
  <c r="AB691" i="1"/>
  <c r="AX716" i="1"/>
  <c r="AY716" i="1"/>
  <c r="BL718" i="1"/>
  <c r="BM718" i="1"/>
  <c r="AX728" i="1"/>
  <c r="AY728" i="1"/>
  <c r="AB743" i="1"/>
  <c r="AC743" i="1"/>
  <c r="AC745" i="1"/>
  <c r="AB745" i="1"/>
  <c r="AP751" i="1"/>
  <c r="AQ751" i="1" s="1"/>
  <c r="BM889" i="1"/>
  <c r="BL889" i="1"/>
  <c r="AB585" i="1"/>
  <c r="AC585" i="1"/>
  <c r="AC638" i="1"/>
  <c r="AX663" i="1"/>
  <c r="AY663" i="1"/>
  <c r="BM800" i="1"/>
  <c r="BL800" i="1"/>
  <c r="AP631" i="1"/>
  <c r="AQ631" i="1" s="1"/>
  <c r="AP638" i="1"/>
  <c r="AQ638" i="1" s="1"/>
  <c r="AP641" i="1"/>
  <c r="AQ641" i="1" s="1"/>
  <c r="AO646" i="1"/>
  <c r="AP666" i="1"/>
  <c r="AQ666" i="1" s="1"/>
  <c r="BK671" i="1"/>
  <c r="BK688" i="1"/>
  <c r="AX697" i="1"/>
  <c r="BK698" i="1"/>
  <c r="BL709" i="1"/>
  <c r="AY721" i="1"/>
  <c r="AX721" i="1"/>
  <c r="AX722" i="1"/>
  <c r="AY722" i="1"/>
  <c r="AG730" i="1"/>
  <c r="AY730" i="1" s="1"/>
  <c r="AB730" i="1"/>
  <c r="AP741" i="1"/>
  <c r="AQ741" i="1" s="1"/>
  <c r="BL760" i="1"/>
  <c r="BM766" i="1"/>
  <c r="BL766" i="1"/>
  <c r="AX767" i="1"/>
  <c r="AC778" i="1"/>
  <c r="BK781" i="1"/>
  <c r="AB793" i="1"/>
  <c r="AP794" i="1"/>
  <c r="AC796" i="1"/>
  <c r="AB796" i="1"/>
  <c r="BK798" i="1"/>
  <c r="BK799" i="1"/>
  <c r="BK806" i="1"/>
  <c r="AP810" i="1"/>
  <c r="AQ810" i="1" s="1"/>
  <c r="BK816" i="1"/>
  <c r="AP819" i="1"/>
  <c r="AQ819" i="1" s="1"/>
  <c r="AP823" i="1"/>
  <c r="AQ823" i="1" s="1"/>
  <c r="AP846" i="1"/>
  <c r="AQ846" i="1" s="1"/>
  <c r="AP849" i="1"/>
  <c r="AQ849" i="1" s="1"/>
  <c r="AP850" i="1"/>
  <c r="AQ850" i="1" s="1"/>
  <c r="BK860" i="1"/>
  <c r="BL862" i="1"/>
  <c r="BK863" i="1"/>
  <c r="AP867" i="1"/>
  <c r="AQ867" i="1" s="1"/>
  <c r="AP1065" i="1"/>
  <c r="AQ1065" i="1" s="1"/>
  <c r="BL693" i="1"/>
  <c r="BL734" i="1"/>
  <c r="BM735" i="1"/>
  <c r="BL735" i="1"/>
  <c r="AC783" i="1"/>
  <c r="AB783" i="1"/>
  <c r="BK785" i="1"/>
  <c r="AY793" i="1"/>
  <c r="AX793" i="1"/>
  <c r="BL811" i="1"/>
  <c r="AY866" i="1"/>
  <c r="AX866" i="1"/>
  <c r="AP871" i="1"/>
  <c r="AQ871" i="1" s="1"/>
  <c r="AP872" i="1"/>
  <c r="AQ872" i="1" s="1"/>
  <c r="BK876" i="1"/>
  <c r="AY878" i="1"/>
  <c r="BM890" i="1"/>
  <c r="BL890" i="1"/>
  <c r="BL896" i="1"/>
  <c r="AP919" i="1"/>
  <c r="AX958" i="1"/>
  <c r="AY958" i="1"/>
  <c r="AP1035" i="1"/>
  <c r="AQ1035" i="1" s="1"/>
  <c r="AP713" i="1"/>
  <c r="AQ713" i="1" s="1"/>
  <c r="AB714" i="1"/>
  <c r="AP721" i="1"/>
  <c r="AQ721" i="1" s="1"/>
  <c r="AP749" i="1"/>
  <c r="AQ749" i="1" s="1"/>
  <c r="AY757" i="1"/>
  <c r="AX757" i="1"/>
  <c r="BK765" i="1"/>
  <c r="AP772" i="1"/>
  <c r="AQ772" i="1" s="1"/>
  <c r="AX776" i="1"/>
  <c r="AX777" i="1"/>
  <c r="BL785" i="1"/>
  <c r="AX794" i="1"/>
  <c r="AX802" i="1"/>
  <c r="AX814" i="1"/>
  <c r="AP824" i="1"/>
  <c r="AQ824" i="1" s="1"/>
  <c r="AC831" i="1"/>
  <c r="BL833" i="1"/>
  <c r="BL843" i="1"/>
  <c r="AX846" i="1"/>
  <c r="AY868" i="1"/>
  <c r="AY927" i="1"/>
  <c r="AX927" i="1"/>
  <c r="AB952" i="1"/>
  <c r="AC952" i="1"/>
  <c r="BK561" i="1"/>
  <c r="AP593" i="1"/>
  <c r="AQ593" i="1" s="1"/>
  <c r="AP613" i="1"/>
  <c r="AQ613" i="1" s="1"/>
  <c r="AP622" i="1"/>
  <c r="AQ622" i="1" s="1"/>
  <c r="BK630" i="1"/>
  <c r="AX632" i="1"/>
  <c r="BL634" i="1"/>
  <c r="BL635" i="1"/>
  <c r="BK652" i="1"/>
  <c r="BL662" i="1"/>
  <c r="BL666" i="1"/>
  <c r="AX667" i="1"/>
  <c r="AB674" i="1"/>
  <c r="BL674" i="1"/>
  <c r="AX677" i="1"/>
  <c r="AC680" i="1"/>
  <c r="BL696" i="1"/>
  <c r="AO700" i="1"/>
  <c r="AP700" i="1" s="1"/>
  <c r="AC708" i="1"/>
  <c r="BM709" i="1"/>
  <c r="AG714" i="1"/>
  <c r="BK718" i="1"/>
  <c r="BK733" i="1"/>
  <c r="AP747" i="1"/>
  <c r="AQ747" i="1" s="1"/>
  <c r="AB759" i="1"/>
  <c r="BK768" i="1"/>
  <c r="BK769" i="1"/>
  <c r="AX771" i="1"/>
  <c r="BL775" i="1"/>
  <c r="AP779" i="1"/>
  <c r="AQ779" i="1" s="1"/>
  <c r="BK786" i="1"/>
  <c r="BK809" i="1"/>
  <c r="AP827" i="1"/>
  <c r="AQ827" i="1" s="1"/>
  <c r="AY829" i="1"/>
  <c r="AX829" i="1"/>
  <c r="AG831" i="1"/>
  <c r="AY831" i="1" s="1"/>
  <c r="BK843" i="1"/>
  <c r="BK852" i="1"/>
  <c r="BL857" i="1"/>
  <c r="BM862" i="1"/>
  <c r="BL864" i="1"/>
  <c r="BK878" i="1"/>
  <c r="BM919" i="1"/>
  <c r="BL919" i="1"/>
  <c r="BK564" i="1"/>
  <c r="BK594" i="1"/>
  <c r="BK618" i="1"/>
  <c r="AB629" i="1"/>
  <c r="BK631" i="1"/>
  <c r="BL638" i="1"/>
  <c r="BK645" i="1"/>
  <c r="BL659" i="1"/>
  <c r="AP690" i="1"/>
  <c r="AQ690" i="1" s="1"/>
  <c r="BM693" i="1"/>
  <c r="AX713" i="1"/>
  <c r="AP715" i="1"/>
  <c r="AQ715" i="1" s="1"/>
  <c r="BK722" i="1"/>
  <c r="BM734" i="1"/>
  <c r="BL740" i="1"/>
  <c r="AQ744" i="1"/>
  <c r="AQ746" i="1"/>
  <c r="BK775" i="1"/>
  <c r="BL786" i="1"/>
  <c r="AY789" i="1"/>
  <c r="AP790" i="1"/>
  <c r="AQ790" i="1" s="1"/>
  <c r="AG791" i="1"/>
  <c r="AX801" i="1"/>
  <c r="AP804" i="1"/>
  <c r="AQ804" i="1" s="1"/>
  <c r="BK810" i="1"/>
  <c r="AP816" i="1"/>
  <c r="AQ816" i="1" s="1"/>
  <c r="AX826" i="1"/>
  <c r="AX828" i="1"/>
  <c r="AY828" i="1"/>
  <c r="BL838" i="1"/>
  <c r="BK844" i="1"/>
  <c r="BK851" i="1"/>
  <c r="BK856" i="1"/>
  <c r="BK857" i="1"/>
  <c r="AY860" i="1"/>
  <c r="AX860" i="1"/>
  <c r="BK867" i="1"/>
  <c r="AY900" i="1"/>
  <c r="AX900" i="1"/>
  <c r="AY914" i="1"/>
  <c r="AX914" i="1"/>
  <c r="AB915" i="1"/>
  <c r="AC915" i="1"/>
  <c r="AX934" i="1"/>
  <c r="AY934" i="1"/>
  <c r="BK676" i="1"/>
  <c r="AX684" i="1"/>
  <c r="AY687" i="1"/>
  <c r="AX687" i="1"/>
  <c r="AP691" i="1"/>
  <c r="AQ691" i="1" s="1"/>
  <c r="AP706" i="1"/>
  <c r="AQ706" i="1" s="1"/>
  <c r="BL712" i="1"/>
  <c r="BM712" i="1"/>
  <c r="BK721" i="1"/>
  <c r="BK729" i="1"/>
  <c r="AY732" i="1"/>
  <c r="AX732" i="1"/>
  <c r="BK770" i="1"/>
  <c r="BK773" i="1"/>
  <c r="AX778" i="1"/>
  <c r="BK793" i="1"/>
  <c r="BM811" i="1"/>
  <c r="BL836" i="1"/>
  <c r="AP859" i="1"/>
  <c r="AQ859" i="1" s="1"/>
  <c r="BL870" i="1"/>
  <c r="BM870" i="1"/>
  <c r="BK871" i="1"/>
  <c r="AC912" i="1"/>
  <c r="AB912" i="1"/>
  <c r="AP924" i="1"/>
  <c r="AQ924" i="1" s="1"/>
  <c r="AY785" i="1"/>
  <c r="AX785" i="1"/>
  <c r="AP899" i="1"/>
  <c r="AQ899" i="1" s="1"/>
  <c r="AB931" i="1"/>
  <c r="AC931" i="1"/>
  <c r="AY938" i="1"/>
  <c r="AX938" i="1"/>
  <c r="AP671" i="1"/>
  <c r="AQ671" i="1" s="1"/>
  <c r="BK677" i="1"/>
  <c r="AY679" i="1"/>
  <c r="BK700" i="1"/>
  <c r="BM746" i="1"/>
  <c r="BL746" i="1"/>
  <c r="AP759" i="1"/>
  <c r="AQ759" i="1" s="1"/>
  <c r="AP760" i="1"/>
  <c r="AQ760" i="1" s="1"/>
  <c r="AB770" i="1"/>
  <c r="BK771" i="1"/>
  <c r="AP781" i="1"/>
  <c r="AQ781" i="1" s="1"/>
  <c r="AC787" i="1"/>
  <c r="AB787" i="1"/>
  <c r="AB809" i="1"/>
  <c r="BK836" i="1"/>
  <c r="AC841" i="1"/>
  <c r="AB853" i="1"/>
  <c r="BK855" i="1"/>
  <c r="BK870" i="1"/>
  <c r="AX879" i="1"/>
  <c r="AY879" i="1"/>
  <c r="AC881" i="1"/>
  <c r="AB881" i="1"/>
  <c r="BK903" i="1"/>
  <c r="AP912" i="1"/>
  <c r="AQ912" i="1" s="1"/>
  <c r="AP916" i="1"/>
  <c r="AQ916" i="1" s="1"/>
  <c r="BL726" i="1"/>
  <c r="BM726" i="1"/>
  <c r="AC751" i="1"/>
  <c r="AB751" i="1"/>
  <c r="AC775" i="1"/>
  <c r="AB775" i="1"/>
  <c r="AP798" i="1"/>
  <c r="AQ798" i="1" s="1"/>
  <c r="AY811" i="1"/>
  <c r="AX811" i="1"/>
  <c r="AQ838" i="1"/>
  <c r="AX840" i="1"/>
  <c r="AY840" i="1"/>
  <c r="AY841" i="1"/>
  <c r="AX841" i="1"/>
  <c r="BK684" i="1"/>
  <c r="BK690" i="1"/>
  <c r="BL706" i="1"/>
  <c r="AC717" i="1"/>
  <c r="AP719" i="1"/>
  <c r="AQ719" i="1" s="1"/>
  <c r="AC723" i="1"/>
  <c r="AP736" i="1"/>
  <c r="AQ736" i="1" s="1"/>
  <c r="BK754" i="1"/>
  <c r="AY768" i="1"/>
  <c r="AX768" i="1"/>
  <c r="AB769" i="1"/>
  <c r="AC774" i="1"/>
  <c r="AB774" i="1"/>
  <c r="BK778" i="1"/>
  <c r="BK782" i="1"/>
  <c r="BL806" i="1"/>
  <c r="AB810" i="1"/>
  <c r="AY839" i="1"/>
  <c r="AX839" i="1"/>
  <c r="AY851" i="1"/>
  <c r="AX851" i="1"/>
  <c r="AY852" i="1"/>
  <c r="AX852" i="1"/>
  <c r="AC874" i="1"/>
  <c r="AB888" i="1"/>
  <c r="AP891" i="1"/>
  <c r="AQ891" i="1" s="1"/>
  <c r="BL900" i="1"/>
  <c r="AB908" i="1"/>
  <c r="AC908" i="1"/>
  <c r="AC910" i="1"/>
  <c r="AB910" i="1"/>
  <c r="AB929" i="1"/>
  <c r="AC929" i="1"/>
  <c r="BL934" i="1"/>
  <c r="BM934" i="1"/>
  <c r="AX769" i="1"/>
  <c r="AY769" i="1"/>
  <c r="AX873" i="1"/>
  <c r="AY873" i="1"/>
  <c r="BM876" i="1"/>
  <c r="BL876" i="1"/>
  <c r="AY886" i="1"/>
  <c r="AX886" i="1"/>
  <c r="AC922" i="1"/>
  <c r="AB922" i="1"/>
  <c r="AX978" i="1"/>
  <c r="AY978" i="1"/>
  <c r="BM982" i="1"/>
  <c r="BL982" i="1"/>
  <c r="BM996" i="1"/>
  <c r="BL996" i="1"/>
  <c r="BM1008" i="1"/>
  <c r="BL1008" i="1"/>
  <c r="AY1059" i="1"/>
  <c r="AX1059" i="1"/>
  <c r="BL826" i="1"/>
  <c r="AP887" i="1"/>
  <c r="AQ887" i="1" s="1"/>
  <c r="AC956" i="1"/>
  <c r="AP1064" i="1"/>
  <c r="AQ1064" i="1" s="1"/>
  <c r="BL1244" i="1"/>
  <c r="BM1244" i="1"/>
  <c r="BK679" i="1"/>
  <c r="BL690" i="1"/>
  <c r="BK706" i="1"/>
  <c r="BL713" i="1"/>
  <c r="BL767" i="1"/>
  <c r="AB805" i="1"/>
  <c r="AB823" i="1"/>
  <c r="AP842" i="1"/>
  <c r="AQ842" i="1" s="1"/>
  <c r="AB845" i="1"/>
  <c r="BK848" i="1"/>
  <c r="AC855" i="1"/>
  <c r="AP863" i="1"/>
  <c r="AB865" i="1"/>
  <c r="AY867" i="1"/>
  <c r="BL874" i="1"/>
  <c r="AX885" i="1"/>
  <c r="BL897" i="1"/>
  <c r="AB903" i="1"/>
  <c r="BL918" i="1"/>
  <c r="BK935" i="1"/>
  <c r="BM938" i="1"/>
  <c r="BL938" i="1"/>
  <c r="AX949" i="1"/>
  <c r="BM964" i="1"/>
  <c r="BL964" i="1"/>
  <c r="AY977" i="1"/>
  <c r="AX977" i="1"/>
  <c r="BM981" i="1"/>
  <c r="BL981" i="1"/>
  <c r="AG1001" i="1"/>
  <c r="AX1001" i="1" s="1"/>
  <c r="AC1001" i="1"/>
  <c r="AB1001" i="1"/>
  <c r="BL687" i="1"/>
  <c r="AC695" i="1"/>
  <c r="AP699" i="1"/>
  <c r="AQ699" i="1" s="1"/>
  <c r="BK713" i="1"/>
  <c r="BK719" i="1"/>
  <c r="BK737" i="1"/>
  <c r="BK755" i="1"/>
  <c r="BL784" i="1"/>
  <c r="AC792" i="1"/>
  <c r="AC807" i="1"/>
  <c r="AP812" i="1"/>
  <c r="AQ812" i="1" s="1"/>
  <c r="BK825" i="1"/>
  <c r="AP835" i="1"/>
  <c r="AQ835" i="1" s="1"/>
  <c r="AP856" i="1"/>
  <c r="AQ856" i="1" s="1"/>
  <c r="AP869" i="1"/>
  <c r="AQ869" i="1" s="1"/>
  <c r="BK874" i="1"/>
  <c r="AP888" i="1"/>
  <c r="AQ888" i="1" s="1"/>
  <c r="AC889" i="1"/>
  <c r="AC890" i="1"/>
  <c r="BK897" i="1"/>
  <c r="BM925" i="1"/>
  <c r="BL925" i="1"/>
  <c r="BL937" i="1"/>
  <c r="BK940" i="1"/>
  <c r="BL947" i="1"/>
  <c r="AC1011" i="1"/>
  <c r="AB1011" i="1"/>
  <c r="AY1075" i="1"/>
  <c r="AX1075" i="1"/>
  <c r="AC1182" i="1"/>
  <c r="AB1182" i="1"/>
  <c r="BM1025" i="1"/>
  <c r="BL1025" i="1"/>
  <c r="AC1181" i="1"/>
  <c r="AB1181" i="1"/>
  <c r="BK879" i="1"/>
  <c r="BK885" i="1"/>
  <c r="AP914" i="1"/>
  <c r="AQ914" i="1" s="1"/>
  <c r="AP968" i="1"/>
  <c r="AQ968" i="1" s="1"/>
  <c r="AP1099" i="1"/>
  <c r="AQ1099" i="1" s="1"/>
  <c r="BM956" i="1"/>
  <c r="BL956" i="1"/>
  <c r="AC962" i="1"/>
  <c r="AB962" i="1"/>
  <c r="BL985" i="1"/>
  <c r="BM985" i="1"/>
  <c r="AX1073" i="1"/>
  <c r="AY1073" i="1"/>
  <c r="BM1083" i="1"/>
  <c r="BL1083" i="1"/>
  <c r="AC1097" i="1"/>
  <c r="AB1097" i="1"/>
  <c r="AY935" i="1"/>
  <c r="AX935" i="1"/>
  <c r="BM975" i="1"/>
  <c r="BL975" i="1"/>
  <c r="AY1010" i="1"/>
  <c r="AX1010" i="1"/>
  <c r="BK900" i="1"/>
  <c r="BK902" i="1"/>
  <c r="AX928" i="1"/>
  <c r="AY928" i="1"/>
  <c r="AC940" i="1"/>
  <c r="AY941" i="1"/>
  <c r="AX941" i="1"/>
  <c r="AX960" i="1"/>
  <c r="AY960" i="1"/>
  <c r="AP961" i="1"/>
  <c r="AQ961" i="1" s="1"/>
  <c r="AC1028" i="1"/>
  <c r="AB1028" i="1"/>
  <c r="AQ1045" i="1"/>
  <c r="AX1090" i="1"/>
  <c r="AY1090" i="1"/>
  <c r="AC966" i="1"/>
  <c r="AB966" i="1"/>
  <c r="AB979" i="1"/>
  <c r="AC979" i="1"/>
  <c r="AB990" i="1"/>
  <c r="AC990" i="1"/>
  <c r="AC1060" i="1"/>
  <c r="AB1060" i="1"/>
  <c r="AC1141" i="1"/>
  <c r="AB1141" i="1"/>
  <c r="BK882" i="1"/>
  <c r="BK889" i="1"/>
  <c r="BL894" i="1"/>
  <c r="AY926" i="1"/>
  <c r="AX926" i="1"/>
  <c r="AC958" i="1"/>
  <c r="AB958" i="1"/>
  <c r="BM971" i="1"/>
  <c r="BL971" i="1"/>
  <c r="BK916" i="1"/>
  <c r="AX957" i="1"/>
  <c r="AX965" i="1"/>
  <c r="AP972" i="1"/>
  <c r="AQ972" i="1" s="1"/>
  <c r="AX988" i="1"/>
  <c r="BL1006" i="1"/>
  <c r="AX1018" i="1"/>
  <c r="BK1054" i="1"/>
  <c r="BL1055" i="1"/>
  <c r="BL1062" i="1"/>
  <c r="BL1069" i="1"/>
  <c r="AP1073" i="1"/>
  <c r="AQ1073" i="1" s="1"/>
  <c r="AP1090" i="1"/>
  <c r="AQ1090" i="1" s="1"/>
  <c r="AP1112" i="1"/>
  <c r="AQ1112" i="1" s="1"/>
  <c r="AY1124" i="1"/>
  <c r="AB1205" i="1"/>
  <c r="BM1211" i="1"/>
  <c r="BL1211" i="1"/>
  <c r="BL1253" i="1"/>
  <c r="AB916" i="1"/>
  <c r="AC918" i="1"/>
  <c r="AB919" i="1"/>
  <c r="AB944" i="1"/>
  <c r="BL955" i="1"/>
  <c r="AB964" i="1"/>
  <c r="AX972" i="1"/>
  <c r="AB980" i="1"/>
  <c r="AP993" i="1"/>
  <c r="AQ993" i="1" s="1"/>
  <c r="AX1000" i="1"/>
  <c r="AB1006" i="1"/>
  <c r="BK1008" i="1"/>
  <c r="AX1009" i="1"/>
  <c r="AB1020" i="1"/>
  <c r="AX1026" i="1"/>
  <c r="AB1029" i="1"/>
  <c r="BL1031" i="1"/>
  <c r="AC1042" i="1"/>
  <c r="AY1046" i="1"/>
  <c r="BK1055" i="1"/>
  <c r="AY1057" i="1"/>
  <c r="AX1058" i="1"/>
  <c r="AY1063" i="1"/>
  <c r="AB1066" i="1"/>
  <c r="BL1067" i="1"/>
  <c r="BK1068" i="1"/>
  <c r="BL1070" i="1"/>
  <c r="BM1070" i="1"/>
  <c r="AY1071" i="1"/>
  <c r="BL1087" i="1"/>
  <c r="AX1100" i="1"/>
  <c r="AP1120" i="1"/>
  <c r="AQ1120" i="1" s="1"/>
  <c r="AG1129" i="1"/>
  <c r="AY1129" i="1" s="1"/>
  <c r="BK1135" i="1"/>
  <c r="AY1148" i="1"/>
  <c r="AX1148" i="1"/>
  <c r="AY1198" i="1"/>
  <c r="AX1198" i="1"/>
  <c r="AB1229" i="1"/>
  <c r="AC913" i="1"/>
  <c r="AB923" i="1"/>
  <c r="AX929" i="1"/>
  <c r="AP932" i="1"/>
  <c r="AQ932" i="1" s="1"/>
  <c r="BK938" i="1"/>
  <c r="BL949" i="1"/>
  <c r="AB955" i="1"/>
  <c r="AP959" i="1"/>
  <c r="AQ959" i="1" s="1"/>
  <c r="AB961" i="1"/>
  <c r="BL987" i="1"/>
  <c r="AY989" i="1"/>
  <c r="AP1002" i="1"/>
  <c r="AQ1002" i="1" s="1"/>
  <c r="AX1019" i="1"/>
  <c r="BL1021" i="1"/>
  <c r="AX1027" i="1"/>
  <c r="AY1035" i="1"/>
  <c r="AB1078" i="1"/>
  <c r="AY1096" i="1"/>
  <c r="AX1096" i="1"/>
  <c r="BM1099" i="1"/>
  <c r="BL1099" i="1"/>
  <c r="AC1138" i="1"/>
  <c r="AB1138" i="1"/>
  <c r="BL1173" i="1"/>
  <c r="BM1173" i="1"/>
  <c r="BM1191" i="1"/>
  <c r="BL1191" i="1"/>
  <c r="BM1219" i="1"/>
  <c r="BL1219" i="1"/>
  <c r="AY1235" i="1"/>
  <c r="AX1235" i="1"/>
  <c r="BK920" i="1"/>
  <c r="BK921" i="1"/>
  <c r="BL931" i="1"/>
  <c r="BL940" i="1"/>
  <c r="BK962" i="1"/>
  <c r="BK986" i="1"/>
  <c r="AP992" i="1"/>
  <c r="AQ992" i="1" s="1"/>
  <c r="AB995" i="1"/>
  <c r="BK999" i="1"/>
  <c r="AO1001" i="1"/>
  <c r="AP1001" i="1" s="1"/>
  <c r="AQ1001" i="1" s="1"/>
  <c r="BK1003" i="1"/>
  <c r="AC1007" i="1"/>
  <c r="BL1017" i="1"/>
  <c r="BK1018" i="1"/>
  <c r="AX1022" i="1"/>
  <c r="BL1026" i="1"/>
  <c r="AB1031" i="1"/>
  <c r="BK1032" i="1"/>
  <c r="AC1041" i="1"/>
  <c r="AQ1042" i="1"/>
  <c r="BL1046" i="1"/>
  <c r="AX1047" i="1"/>
  <c r="BK1056" i="1"/>
  <c r="AP1060" i="1"/>
  <c r="AQ1060" i="1" s="1"/>
  <c r="AX1065" i="1"/>
  <c r="AC1087" i="1"/>
  <c r="BL1093" i="1"/>
  <c r="BM1093" i="1"/>
  <c r="BK1106" i="1"/>
  <c r="AX1108" i="1"/>
  <c r="BK1115" i="1"/>
  <c r="BL1120" i="1"/>
  <c r="BM1120" i="1"/>
  <c r="BM1149" i="1"/>
  <c r="BL1149" i="1"/>
  <c r="BL1185" i="1"/>
  <c r="BM1185" i="1"/>
  <c r="BM1210" i="1"/>
  <c r="BL1210" i="1"/>
  <c r="AY1239" i="1"/>
  <c r="AX1239" i="1"/>
  <c r="BK1263" i="1"/>
  <c r="AY1270" i="1"/>
  <c r="AX1270" i="1"/>
  <c r="AP944" i="1"/>
  <c r="AQ944" i="1" s="1"/>
  <c r="BL973" i="1"/>
  <c r="BK977" i="1"/>
  <c r="BK988" i="1"/>
  <c r="BK1046" i="1"/>
  <c r="BK1048" i="1"/>
  <c r="BK1057" i="1"/>
  <c r="BL1073" i="1"/>
  <c r="BK1090" i="1"/>
  <c r="BL1108" i="1"/>
  <c r="BK1113" i="1"/>
  <c r="AX1139" i="1"/>
  <c r="AY1139" i="1"/>
  <c r="AC1153" i="1"/>
  <c r="AB1153" i="1"/>
  <c r="BK1209" i="1"/>
  <c r="BK1223" i="1"/>
  <c r="BK989" i="1"/>
  <c r="BK1000" i="1"/>
  <c r="AP1021" i="1"/>
  <c r="AQ1021" i="1" s="1"/>
  <c r="BK1045" i="1"/>
  <c r="BK1074" i="1"/>
  <c r="BK1093" i="1"/>
  <c r="BK1122" i="1"/>
  <c r="BL1148" i="1"/>
  <c r="BM1148" i="1"/>
  <c r="BK1176" i="1"/>
  <c r="AC1215" i="1"/>
  <c r="AB1215" i="1"/>
  <c r="AP1247" i="1"/>
  <c r="AQ1247" i="1" s="1"/>
  <c r="AX1269" i="1"/>
  <c r="AY1269" i="1"/>
  <c r="AB1081" i="1"/>
  <c r="AC1081" i="1"/>
  <c r="AC1195" i="1"/>
  <c r="AB1195" i="1"/>
  <c r="BM1233" i="1"/>
  <c r="BL1233" i="1"/>
  <c r="AC1252" i="1"/>
  <c r="AB1252" i="1"/>
  <c r="AY1274" i="1"/>
  <c r="AX1274" i="1"/>
  <c r="AP906" i="1"/>
  <c r="AQ906" i="1" s="1"/>
  <c r="AY912" i="1"/>
  <c r="BK918" i="1"/>
  <c r="AY919" i="1"/>
  <c r="AP926" i="1"/>
  <c r="AQ926" i="1" s="1"/>
  <c r="BK929" i="1"/>
  <c r="AP938" i="1"/>
  <c r="AQ938" i="1" s="1"/>
  <c r="BL943" i="1"/>
  <c r="AC950" i="1"/>
  <c r="BK953" i="1"/>
  <c r="BK963" i="1"/>
  <c r="BK974" i="1"/>
  <c r="BK978" i="1"/>
  <c r="AP981" i="1"/>
  <c r="AQ981" i="1" s="1"/>
  <c r="BK1001" i="1"/>
  <c r="BK1004" i="1"/>
  <c r="AB1009" i="1"/>
  <c r="AB1015" i="1"/>
  <c r="AB1018" i="1"/>
  <c r="AB1022" i="1"/>
  <c r="BL1023" i="1"/>
  <c r="AP1025" i="1"/>
  <c r="AQ1025" i="1" s="1"/>
  <c r="BL1037" i="1"/>
  <c r="BK1047" i="1"/>
  <c r="AB1063" i="1"/>
  <c r="BK1064" i="1"/>
  <c r="AB1071" i="1"/>
  <c r="AC1083" i="1"/>
  <c r="AP1088" i="1"/>
  <c r="AQ1088" i="1" s="1"/>
  <c r="AB1125" i="1"/>
  <c r="AB1152" i="1"/>
  <c r="AC1152" i="1"/>
  <c r="AB1189" i="1"/>
  <c r="AB1207" i="1"/>
  <c r="AB1213" i="1"/>
  <c r="AC1214" i="1"/>
  <c r="BL1217" i="1"/>
  <c r="BM1217" i="1"/>
  <c r="AC1227" i="1"/>
  <c r="AB1227" i="1"/>
  <c r="AP956" i="1"/>
  <c r="AQ956" i="1" s="1"/>
  <c r="BK992" i="1"/>
  <c r="BK1028" i="1"/>
  <c r="AY1040" i="1"/>
  <c r="AQ1054" i="1"/>
  <c r="AY1067" i="1"/>
  <c r="AX1087" i="1"/>
  <c r="AC1101" i="1"/>
  <c r="AB1101" i="1"/>
  <c r="AG1104" i="1"/>
  <c r="AY1104" i="1" s="1"/>
  <c r="AI1104" i="1"/>
  <c r="AP1104" i="1" s="1"/>
  <c r="BM1108" i="1"/>
  <c r="BK1119" i="1"/>
  <c r="AB1193" i="1"/>
  <c r="AB1221" i="1"/>
  <c r="AC1222" i="1"/>
  <c r="AB1222" i="1"/>
  <c r="BK1231" i="1"/>
  <c r="BK1232" i="1"/>
  <c r="AY1268" i="1"/>
  <c r="AX1268" i="1"/>
  <c r="AC1098" i="1"/>
  <c r="AB1098" i="1"/>
  <c r="AX1101" i="1"/>
  <c r="AY1101" i="1"/>
  <c r="AC1121" i="1"/>
  <c r="AB1121" i="1"/>
  <c r="AY1134" i="1"/>
  <c r="AP1188" i="1"/>
  <c r="AQ1188" i="1" s="1"/>
  <c r="AY1226" i="1"/>
  <c r="AX1226" i="1"/>
  <c r="AP1268" i="1"/>
  <c r="AQ1268" i="1" s="1"/>
  <c r="BL905" i="1"/>
  <c r="BL906" i="1"/>
  <c r="BK919" i="1"/>
  <c r="BK923" i="1"/>
  <c r="BK937" i="1"/>
  <c r="BL945" i="1"/>
  <c r="AP957" i="1"/>
  <c r="AQ957" i="1" s="1"/>
  <c r="BK969" i="1"/>
  <c r="BK980" i="1"/>
  <c r="BL983" i="1"/>
  <c r="BK984" i="1"/>
  <c r="BK1012" i="1"/>
  <c r="BK1023" i="1"/>
  <c r="AY1025" i="1"/>
  <c r="BK1038" i="1"/>
  <c r="BL1039" i="1"/>
  <c r="BK1041" i="1"/>
  <c r="BL1054" i="1"/>
  <c r="AX1055" i="1"/>
  <c r="AX1062" i="1"/>
  <c r="BK1066" i="1"/>
  <c r="AY1068" i="1"/>
  <c r="AP1072" i="1"/>
  <c r="AQ1072" i="1" s="1"/>
  <c r="AC1076" i="1"/>
  <c r="AB1076" i="1"/>
  <c r="BL1078" i="1"/>
  <c r="AC1090" i="1"/>
  <c r="AX1106" i="1"/>
  <c r="AY1106" i="1"/>
  <c r="AX1123" i="1"/>
  <c r="AY1123" i="1"/>
  <c r="AX1151" i="1"/>
  <c r="AY1151" i="1"/>
  <c r="BL1167" i="1"/>
  <c r="BM1167" i="1"/>
  <c r="AC1199" i="1"/>
  <c r="AB1199" i="1"/>
  <c r="BL1216" i="1"/>
  <c r="BK1271" i="1"/>
  <c r="AB1088" i="1"/>
  <c r="AC1099" i="1"/>
  <c r="AC1104" i="1"/>
  <c r="BK1111" i="1"/>
  <c r="BL1121" i="1"/>
  <c r="BK1128" i="1"/>
  <c r="AC1135" i="1"/>
  <c r="BK1146" i="1"/>
  <c r="BK1147" i="1"/>
  <c r="BL1151" i="1"/>
  <c r="AY1153" i="1"/>
  <c r="AY1154" i="1"/>
  <c r="AB1160" i="1"/>
  <c r="BL1165" i="1"/>
  <c r="AX1166" i="1"/>
  <c r="AP1172" i="1"/>
  <c r="AQ1172" i="1" s="1"/>
  <c r="BL1176" i="1"/>
  <c r="AX1177" i="1"/>
  <c r="BK1181" i="1"/>
  <c r="AP1187" i="1"/>
  <c r="AQ1187" i="1" s="1"/>
  <c r="AC1188" i="1"/>
  <c r="AC1192" i="1"/>
  <c r="BK1193" i="1"/>
  <c r="BK1194" i="1"/>
  <c r="BK1198" i="1"/>
  <c r="BK1199" i="1"/>
  <c r="AX1202" i="1"/>
  <c r="BK1208" i="1"/>
  <c r="BL1209" i="1"/>
  <c r="AB1212" i="1"/>
  <c r="BK1213" i="1"/>
  <c r="BM1214" i="1"/>
  <c r="AX1216" i="1"/>
  <c r="AB1220" i="1"/>
  <c r="AB1226" i="1"/>
  <c r="BK1227" i="1"/>
  <c r="AP1230" i="1"/>
  <c r="AQ1230" i="1" s="1"/>
  <c r="AY1242" i="1"/>
  <c r="AY1243" i="1"/>
  <c r="AQ1245" i="1"/>
  <c r="AY1249" i="1"/>
  <c r="AG1250" i="1"/>
  <c r="AP1253" i="1"/>
  <c r="AQ1253" i="1" s="1"/>
  <c r="AC1257" i="1"/>
  <c r="AY1260" i="1"/>
  <c r="BL1261" i="1"/>
  <c r="BL1270" i="1"/>
  <c r="BL1274" i="1"/>
  <c r="BK1114" i="1"/>
  <c r="BL1123" i="1"/>
  <c r="BK1145" i="1"/>
  <c r="BM1162" i="1"/>
  <c r="BL1163" i="1"/>
  <c r="AP1174" i="1"/>
  <c r="AQ1174" i="1" s="1"/>
  <c r="BM1175" i="1"/>
  <c r="AY1184" i="1"/>
  <c r="BK1190" i="1"/>
  <c r="AP1197" i="1"/>
  <c r="AQ1197" i="1" s="1"/>
  <c r="BL1199" i="1"/>
  <c r="BM1200" i="1"/>
  <c r="BL1202" i="1"/>
  <c r="BM1207" i="1"/>
  <c r="BL1227" i="1"/>
  <c r="BM1228" i="1"/>
  <c r="AQ1233" i="1"/>
  <c r="AX1244" i="1"/>
  <c r="AY1245" i="1"/>
  <c r="BL1262" i="1"/>
  <c r="AX1272" i="1"/>
  <c r="BK1070" i="1"/>
  <c r="BK1083" i="1"/>
  <c r="BL1097" i="1"/>
  <c r="BL1103" i="1"/>
  <c r="BM1121" i="1"/>
  <c r="AX1126" i="1"/>
  <c r="BK1148" i="1"/>
  <c r="BK1166" i="1"/>
  <c r="BK1167" i="1"/>
  <c r="BL1172" i="1"/>
  <c r="BM1183" i="1"/>
  <c r="AY1187" i="1"/>
  <c r="BK1216" i="1"/>
  <c r="BL1224" i="1"/>
  <c r="BL1225" i="1"/>
  <c r="AP1226" i="1"/>
  <c r="AQ1226" i="1" s="1"/>
  <c r="BK1233" i="1"/>
  <c r="BL1238" i="1"/>
  <c r="BK1241" i="1"/>
  <c r="BK1242" i="1"/>
  <c r="BK1243" i="1"/>
  <c r="BK1244" i="1"/>
  <c r="BL1246" i="1"/>
  <c r="BK1272" i="1"/>
  <c r="AC1205" i="1"/>
  <c r="AB1228" i="1"/>
  <c r="BL1066" i="1"/>
  <c r="BK1071" i="1"/>
  <c r="BK1087" i="1"/>
  <c r="BK1091" i="1"/>
  <c r="AX1099" i="1"/>
  <c r="BK1118" i="1"/>
  <c r="AX1120" i="1"/>
  <c r="BK1125" i="1"/>
  <c r="BL1126" i="1"/>
  <c r="BK1140" i="1"/>
  <c r="BL1154" i="1"/>
  <c r="BK1156" i="1"/>
  <c r="AP1181" i="1"/>
  <c r="AQ1181" i="1" s="1"/>
  <c r="AB1183" i="1"/>
  <c r="BK1186" i="1"/>
  <c r="AP1189" i="1"/>
  <c r="AQ1189" i="1" s="1"/>
  <c r="BK1191" i="1"/>
  <c r="AX1194" i="1"/>
  <c r="AP1198" i="1"/>
  <c r="AQ1198" i="1" s="1"/>
  <c r="BK1210" i="1"/>
  <c r="AP1215" i="1"/>
  <c r="AQ1215" i="1" s="1"/>
  <c r="AG1228" i="1"/>
  <c r="AX1228" i="1" s="1"/>
  <c r="AG1229" i="1"/>
  <c r="BK1250" i="1"/>
  <c r="AB1266" i="1"/>
  <c r="BK1273" i="1"/>
  <c r="BL1150" i="1"/>
  <c r="BK1159" i="1"/>
  <c r="AP1171" i="1"/>
  <c r="AQ1171" i="1" s="1"/>
  <c r="AP1202" i="1"/>
  <c r="AQ1202" i="1" s="1"/>
  <c r="BK1180" i="1"/>
  <c r="BK1187" i="1"/>
  <c r="AP1195" i="1"/>
  <c r="AQ1195" i="1" s="1"/>
  <c r="AG1205" i="1"/>
  <c r="AP1227" i="1"/>
  <c r="AQ1227" i="1" s="1"/>
  <c r="AP1228" i="1"/>
  <c r="AQ1228" i="1" s="1"/>
  <c r="AB1241" i="1"/>
  <c r="BL1267" i="1"/>
  <c r="BL1269" i="1"/>
  <c r="BL1152" i="1"/>
  <c r="AB1167" i="1"/>
  <c r="AB1172" i="1"/>
  <c r="AB1173" i="1"/>
  <c r="AB1204" i="1"/>
  <c r="AC1217" i="1"/>
  <c r="AB1233" i="1"/>
  <c r="AP1252" i="1"/>
  <c r="AQ1252" i="1" s="1"/>
  <c r="BK1099" i="1"/>
  <c r="AP1106" i="1"/>
  <c r="AQ1106" i="1" s="1"/>
  <c r="BL1110" i="1"/>
  <c r="AO1129" i="1"/>
  <c r="AP1129" i="1" s="1"/>
  <c r="AQ1129" i="1" s="1"/>
  <c r="AB1149" i="1"/>
  <c r="AB1150" i="1"/>
  <c r="BK1150" i="1"/>
  <c r="AC1155" i="1"/>
  <c r="BL1174" i="1"/>
  <c r="AC1178" i="1"/>
  <c r="AP1185" i="1"/>
  <c r="AQ1185" i="1" s="1"/>
  <c r="AC1187" i="1"/>
  <c r="BL1193" i="1"/>
  <c r="AC1211" i="1"/>
  <c r="AB1218" i="1"/>
  <c r="AC1219" i="1"/>
  <c r="AC1234" i="1"/>
  <c r="AB1238" i="1"/>
  <c r="AP1240" i="1"/>
  <c r="AQ1240" i="1" s="1"/>
  <c r="AP1249" i="1"/>
  <c r="AQ1249" i="1" s="1"/>
  <c r="AB1256" i="1"/>
  <c r="AP1259" i="1"/>
  <c r="AQ1259" i="1" s="1"/>
  <c r="AB1273" i="1"/>
  <c r="AP1096" i="1"/>
  <c r="AQ1096" i="1" s="1"/>
  <c r="BL1112" i="1"/>
  <c r="AB1126" i="1"/>
  <c r="BL1128" i="1"/>
  <c r="BM1150" i="1"/>
  <c r="AC1158" i="1"/>
  <c r="AB1174" i="1"/>
  <c r="BL1181" i="1"/>
  <c r="AB1186" i="1"/>
  <c r="BM1188" i="1"/>
  <c r="AB1197" i="1"/>
  <c r="BL1201" i="1"/>
  <c r="AC1203" i="1"/>
  <c r="AP1206" i="1"/>
  <c r="AQ1206" i="1" s="1"/>
  <c r="AP1224" i="1"/>
  <c r="AQ1224" i="1" s="1"/>
  <c r="AX1231" i="1"/>
  <c r="BM1235" i="1"/>
  <c r="AP1246" i="1"/>
  <c r="AQ1246" i="1" s="1"/>
  <c r="AB1247" i="1"/>
  <c r="AY1262" i="1"/>
  <c r="AY1263" i="1"/>
  <c r="BM1268" i="1"/>
  <c r="AX1271" i="1"/>
  <c r="BK1274" i="1"/>
  <c r="AX31" i="1"/>
  <c r="BM35" i="1"/>
  <c r="BL35" i="1"/>
  <c r="AQ37" i="1"/>
  <c r="BM33" i="1"/>
  <c r="BL33" i="1"/>
  <c r="X20" i="1"/>
  <c r="Y19" i="1" s="1"/>
  <c r="AQ78" i="1"/>
  <c r="AP194" i="1"/>
  <c r="AQ194" i="1" s="1"/>
  <c r="M26" i="1"/>
  <c r="M27" i="1" s="1"/>
  <c r="BM38" i="1"/>
  <c r="BL38" i="1"/>
  <c r="AY50" i="1"/>
  <c r="AX50" i="1"/>
  <c r="AP87" i="1"/>
  <c r="AQ87" i="1" s="1"/>
  <c r="AP153" i="1"/>
  <c r="AQ153" i="1" s="1"/>
  <c r="AQ43" i="1"/>
  <c r="AP115" i="1"/>
  <c r="AQ115" i="1" s="1"/>
  <c r="AC33" i="1"/>
  <c r="AB33" i="1"/>
  <c r="AC34" i="1"/>
  <c r="AB34" i="1"/>
  <c r="AY56" i="1"/>
  <c r="AX56" i="1"/>
  <c r="AY34" i="1"/>
  <c r="AX34" i="1"/>
  <c r="AO42" i="1"/>
  <c r="AP42" i="1" s="1"/>
  <c r="V1276" i="1"/>
  <c r="X31" i="1"/>
  <c r="X1276" i="1" s="1"/>
  <c r="AA13" i="1" s="1"/>
  <c r="AP34" i="1"/>
  <c r="AQ34" i="1" s="1"/>
  <c r="AY37" i="1"/>
  <c r="AX37" i="1"/>
  <c r="AC38" i="1"/>
  <c r="AB38" i="1"/>
  <c r="AC39" i="1"/>
  <c r="AB39" i="1"/>
  <c r="AP35" i="1"/>
  <c r="AQ35" i="1" s="1"/>
  <c r="AY36" i="1"/>
  <c r="AX36" i="1"/>
  <c r="AY39" i="1"/>
  <c r="AX39" i="1"/>
  <c r="AP45" i="1"/>
  <c r="AQ45" i="1" s="1"/>
  <c r="BK31" i="1"/>
  <c r="AO40" i="1"/>
  <c r="AY51" i="1"/>
  <c r="AX51" i="1"/>
  <c r="BM55" i="1"/>
  <c r="BL55" i="1"/>
  <c r="AC46" i="1"/>
  <c r="AP53" i="1"/>
  <c r="AQ53" i="1" s="1"/>
  <c r="BM63" i="1"/>
  <c r="AY64" i="1"/>
  <c r="AC65" i="1"/>
  <c r="AP66" i="1"/>
  <c r="AQ66" i="1" s="1"/>
  <c r="BM68" i="1"/>
  <c r="AY69" i="1"/>
  <c r="AC70" i="1"/>
  <c r="BL75" i="1"/>
  <c r="BM78" i="1"/>
  <c r="AX79" i="1"/>
  <c r="BM81" i="1"/>
  <c r="AP82" i="1"/>
  <c r="AQ82" i="1" s="1"/>
  <c r="AC84" i="1"/>
  <c r="AC88" i="1"/>
  <c r="BM89" i="1"/>
  <c r="AY90" i="1"/>
  <c r="AC91" i="1"/>
  <c r="BM94" i="1"/>
  <c r="AY95" i="1"/>
  <c r="AC96" i="1"/>
  <c r="AY100" i="1"/>
  <c r="AC101" i="1"/>
  <c r="BL106" i="1"/>
  <c r="AX107" i="1"/>
  <c r="AP109" i="1"/>
  <c r="AQ109" i="1" s="1"/>
  <c r="BL111" i="1"/>
  <c r="AX112" i="1"/>
  <c r="AC116" i="1"/>
  <c r="BM117" i="1"/>
  <c r="AY118" i="1"/>
  <c r="AC119" i="1"/>
  <c r="AP120" i="1"/>
  <c r="AQ120" i="1" s="1"/>
  <c r="BM122" i="1"/>
  <c r="AX123" i="1"/>
  <c r="AP125" i="1"/>
  <c r="AQ125" i="1" s="1"/>
  <c r="BL127" i="1"/>
  <c r="AX128" i="1"/>
  <c r="AP130" i="1"/>
  <c r="AQ130" i="1" s="1"/>
  <c r="BM132" i="1"/>
  <c r="AY133" i="1"/>
  <c r="AC134" i="1"/>
  <c r="AP135" i="1"/>
  <c r="AQ135" i="1" s="1"/>
  <c r="BM137" i="1"/>
  <c r="AX138" i="1"/>
  <c r="AP140" i="1"/>
  <c r="AQ140" i="1" s="1"/>
  <c r="BM142" i="1"/>
  <c r="AY143" i="1"/>
  <c r="AC144" i="1"/>
  <c r="AP145" i="1"/>
  <c r="AQ145" i="1" s="1"/>
  <c r="BM147" i="1"/>
  <c r="AY148" i="1"/>
  <c r="AC149" i="1"/>
  <c r="AQ150" i="1"/>
  <c r="AQ152" i="1"/>
  <c r="BL154" i="1"/>
  <c r="AP157" i="1"/>
  <c r="AQ157" i="1" s="1"/>
  <c r="AP160" i="1"/>
  <c r="AQ160" i="1" s="1"/>
  <c r="AX162" i="1"/>
  <c r="AC166" i="1"/>
  <c r="BL166" i="1"/>
  <c r="AC169" i="1"/>
  <c r="AC171" i="1"/>
  <c r="AB171" i="1"/>
  <c r="AC177" i="1"/>
  <c r="AY179" i="1"/>
  <c r="AP180" i="1"/>
  <c r="AQ180" i="1" s="1"/>
  <c r="AY187" i="1"/>
  <c r="AC198" i="1"/>
  <c r="AC201" i="1"/>
  <c r="AB205" i="1"/>
  <c r="AC205" i="1"/>
  <c r="BL205" i="1"/>
  <c r="BL206" i="1"/>
  <c r="BM206" i="1"/>
  <c r="AP223" i="1"/>
  <c r="AQ223" i="1" s="1"/>
  <c r="BM228" i="1"/>
  <c r="AY233" i="1"/>
  <c r="BK235" i="1"/>
  <c r="BL238" i="1"/>
  <c r="AP241" i="1"/>
  <c r="AQ241" i="1" s="1"/>
  <c r="AX248" i="1"/>
  <c r="BL259" i="1"/>
  <c r="AP271" i="1"/>
  <c r="AQ271" i="1" s="1"/>
  <c r="AB276" i="1"/>
  <c r="AB280" i="1"/>
  <c r="AX285" i="1"/>
  <c r="AX288" i="1"/>
  <c r="AB294" i="1"/>
  <c r="BL313" i="1"/>
  <c r="BM313" i="1"/>
  <c r="BL31" i="1"/>
  <c r="AX32" i="1"/>
  <c r="AP39" i="1"/>
  <c r="AQ39" i="1" s="1"/>
  <c r="BL41" i="1"/>
  <c r="BL46" i="1"/>
  <c r="AX47" i="1"/>
  <c r="AB48" i="1"/>
  <c r="AG49" i="1"/>
  <c r="BL49" i="1"/>
  <c r="BL60" i="1"/>
  <c r="AX61" i="1"/>
  <c r="BL70" i="1"/>
  <c r="AX71" i="1"/>
  <c r="AX76" i="1"/>
  <c r="AP81" i="1"/>
  <c r="AQ81" i="1" s="1"/>
  <c r="BL84" i="1"/>
  <c r="AX85" i="1"/>
  <c r="AX86" i="1"/>
  <c r="BL91" i="1"/>
  <c r="AX92" i="1"/>
  <c r="BL96" i="1"/>
  <c r="AX97" i="1"/>
  <c r="BL101" i="1"/>
  <c r="AX102" i="1"/>
  <c r="AP114" i="1"/>
  <c r="AQ114" i="1" s="1"/>
  <c r="BL134" i="1"/>
  <c r="BL149" i="1"/>
  <c r="AX150" i="1"/>
  <c r="AX152" i="1"/>
  <c r="AY165" i="1"/>
  <c r="AX191" i="1"/>
  <c r="AY194" i="1"/>
  <c r="AY201" i="1"/>
  <c r="AX201" i="1"/>
  <c r="AC202" i="1"/>
  <c r="AB202" i="1"/>
  <c r="BL203" i="1"/>
  <c r="BM203" i="1"/>
  <c r="AP210" i="1"/>
  <c r="AQ210" i="1" s="1"/>
  <c r="BL214" i="1"/>
  <c r="AY240" i="1"/>
  <c r="BM242" i="1"/>
  <c r="BL247" i="1"/>
  <c r="AX252" i="1"/>
  <c r="AY254" i="1"/>
  <c r="BL268" i="1"/>
  <c r="BM270" i="1"/>
  <c r="BL270" i="1"/>
  <c r="AX275" i="1"/>
  <c r="BL277" i="1"/>
  <c r="AX293" i="1"/>
  <c r="AX303" i="1"/>
  <c r="AP310" i="1"/>
  <c r="AQ310" i="1" s="1"/>
  <c r="AJ1276" i="1"/>
  <c r="AX42" i="1"/>
  <c r="AB43" i="1"/>
  <c r="AP44" i="1"/>
  <c r="AQ44" i="1" s="1"/>
  <c r="AI49" i="1"/>
  <c r="BL52" i="1"/>
  <c r="AX53" i="1"/>
  <c r="AB54" i="1"/>
  <c r="AP63" i="1"/>
  <c r="AQ63" i="1" s="1"/>
  <c r="BL65" i="1"/>
  <c r="AX66" i="1"/>
  <c r="AB67" i="1"/>
  <c r="AP68" i="1"/>
  <c r="AQ68" i="1" s="1"/>
  <c r="BL80" i="1"/>
  <c r="AP89" i="1"/>
  <c r="AQ89" i="1" s="1"/>
  <c r="BL108" i="1"/>
  <c r="AX109" i="1"/>
  <c r="AB110" i="1"/>
  <c r="BL113" i="1"/>
  <c r="AP117" i="1"/>
  <c r="AQ117" i="1" s="1"/>
  <c r="BL119" i="1"/>
  <c r="AX120" i="1"/>
  <c r="AB121" i="1"/>
  <c r="BL124" i="1"/>
  <c r="AX125" i="1"/>
  <c r="AB126" i="1"/>
  <c r="AO127" i="1"/>
  <c r="AP127" i="1" s="1"/>
  <c r="BL129" i="1"/>
  <c r="AX130" i="1"/>
  <c r="AB131" i="1"/>
  <c r="AX135" i="1"/>
  <c r="AB136" i="1"/>
  <c r="BL139" i="1"/>
  <c r="AX140" i="1"/>
  <c r="AB141" i="1"/>
  <c r="AP142" i="1"/>
  <c r="AQ142" i="1" s="1"/>
  <c r="BL144" i="1"/>
  <c r="AX145" i="1"/>
  <c r="AB146" i="1"/>
  <c r="AP147" i="1"/>
  <c r="AQ147" i="1" s="1"/>
  <c r="AC156" i="1"/>
  <c r="AY160" i="1"/>
  <c r="BL161" i="1"/>
  <c r="AP163" i="1"/>
  <c r="AQ163" i="1" s="1"/>
  <c r="AB164" i="1"/>
  <c r="BL164" i="1"/>
  <c r="BL169" i="1"/>
  <c r="BL186" i="1"/>
  <c r="AX189" i="1"/>
  <c r="AY189" i="1"/>
  <c r="AB211" i="1"/>
  <c r="AP213" i="1"/>
  <c r="AQ213" i="1" s="1"/>
  <c r="AB214" i="1"/>
  <c r="BM218" i="1"/>
  <c r="BL218" i="1"/>
  <c r="AP221" i="1"/>
  <c r="AQ221" i="1" s="1"/>
  <c r="AX223" i="1"/>
  <c r="BL224" i="1"/>
  <c r="AY228" i="1"/>
  <c r="AX228" i="1"/>
  <c r="AC229" i="1"/>
  <c r="AB229" i="1"/>
  <c r="AO231" i="1"/>
  <c r="AP231" i="1" s="1"/>
  <c r="AQ231" i="1" s="1"/>
  <c r="AP234" i="1"/>
  <c r="AQ234" i="1" s="1"/>
  <c r="BM235" i="1"/>
  <c r="AQ244" i="1"/>
  <c r="AX257" i="1"/>
  <c r="BM264" i="1"/>
  <c r="AP267" i="1"/>
  <c r="AQ267" i="1" s="1"/>
  <c r="AY283" i="1"/>
  <c r="AX283" i="1"/>
  <c r="BM284" i="1"/>
  <c r="AO286" i="1"/>
  <c r="AP286" i="1" s="1"/>
  <c r="AQ286" i="1" s="1"/>
  <c r="BM287" i="1"/>
  <c r="AB297" i="1"/>
  <c r="AX300" i="1"/>
  <c r="AX304" i="1"/>
  <c r="AP366" i="1"/>
  <c r="AQ366" i="1" s="1"/>
  <c r="BL48" i="1"/>
  <c r="BL57" i="1"/>
  <c r="AX58" i="1"/>
  <c r="BL72" i="1"/>
  <c r="AX73" i="1"/>
  <c r="BL98" i="1"/>
  <c r="AX99" i="1"/>
  <c r="BL103" i="1"/>
  <c r="AX104" i="1"/>
  <c r="AB115" i="1"/>
  <c r="BL151" i="1"/>
  <c r="AY155" i="1"/>
  <c r="BL172" i="1"/>
  <c r="BL175" i="1"/>
  <c r="AP177" i="1"/>
  <c r="AQ177" i="1" s="1"/>
  <c r="AX178" i="1"/>
  <c r="AY178" i="1"/>
  <c r="BL181" i="1"/>
  <c r="BL196" i="1"/>
  <c r="BM200" i="1"/>
  <c r="BL200" i="1"/>
  <c r="AX210" i="1"/>
  <c r="BL222" i="1"/>
  <c r="AB235" i="1"/>
  <c r="BM237" i="1"/>
  <c r="BL237" i="1"/>
  <c r="AX242" i="1"/>
  <c r="AY242" i="1"/>
  <c r="BK245" i="1"/>
  <c r="AP246" i="1"/>
  <c r="AQ246" i="1" s="1"/>
  <c r="BL252" i="1"/>
  <c r="AP255" i="1"/>
  <c r="AQ255" i="1" s="1"/>
  <c r="BL256" i="1"/>
  <c r="AB259" i="1"/>
  <c r="AC261" i="1"/>
  <c r="AB261" i="1"/>
  <c r="BL262" i="1"/>
  <c r="AP263" i="1"/>
  <c r="AQ263" i="1" s="1"/>
  <c r="AC277" i="1"/>
  <c r="AP279" i="1"/>
  <c r="AQ279" i="1" s="1"/>
  <c r="AP283" i="1"/>
  <c r="AQ283" i="1" s="1"/>
  <c r="BL292" i="1"/>
  <c r="AX296" i="1"/>
  <c r="AB298" i="1"/>
  <c r="BL43" i="1"/>
  <c r="AX44" i="1"/>
  <c r="AC115" i="1"/>
  <c r="AB190" i="1"/>
  <c r="AC190" i="1"/>
  <c r="AY214" i="1"/>
  <c r="AX214" i="1"/>
  <c r="AC215" i="1"/>
  <c r="AB215" i="1"/>
  <c r="BL216" i="1"/>
  <c r="BM216" i="1"/>
  <c r="BM227" i="1"/>
  <c r="BL227" i="1"/>
  <c r="AY247" i="1"/>
  <c r="AX247" i="1"/>
  <c r="BK254" i="1"/>
  <c r="AY277" i="1"/>
  <c r="AX277" i="1"/>
  <c r="AY298" i="1"/>
  <c r="AX298" i="1"/>
  <c r="BL300" i="1"/>
  <c r="BM308" i="1"/>
  <c r="BL308" i="1"/>
  <c r="AB179" i="1"/>
  <c r="AC179" i="1"/>
  <c r="AY186" i="1"/>
  <c r="AX186" i="1"/>
  <c r="AC187" i="1"/>
  <c r="AB187" i="1"/>
  <c r="BL188" i="1"/>
  <c r="BM188" i="1"/>
  <c r="AC207" i="1"/>
  <c r="AB207" i="1"/>
  <c r="AX239" i="1"/>
  <c r="AY239" i="1"/>
  <c r="AC248" i="1"/>
  <c r="AB248" i="1"/>
  <c r="AB270" i="1"/>
  <c r="AC270" i="1"/>
  <c r="AP277" i="1"/>
  <c r="AQ277" i="1" s="1"/>
  <c r="AB314" i="1"/>
  <c r="AC314" i="1"/>
  <c r="AB61" i="1"/>
  <c r="AP62" i="1"/>
  <c r="AQ62" i="1" s="1"/>
  <c r="AB71" i="1"/>
  <c r="AP72" i="1"/>
  <c r="AQ72" i="1" s="1"/>
  <c r="AB85" i="1"/>
  <c r="AB86" i="1"/>
  <c r="AG87" i="1"/>
  <c r="AB92" i="1"/>
  <c r="AO93" i="1"/>
  <c r="AP93" i="1" s="1"/>
  <c r="AB97" i="1"/>
  <c r="AP98" i="1"/>
  <c r="AQ98" i="1" s="1"/>
  <c r="AB102" i="1"/>
  <c r="AP103" i="1"/>
  <c r="AQ103" i="1" s="1"/>
  <c r="AB135" i="1"/>
  <c r="AB150" i="1"/>
  <c r="AP151" i="1"/>
  <c r="AQ151" i="1" s="1"/>
  <c r="AB162" i="1"/>
  <c r="AY175" i="1"/>
  <c r="AX175" i="1"/>
  <c r="AC176" i="1"/>
  <c r="AB176" i="1"/>
  <c r="BL177" i="1"/>
  <c r="BM177" i="1"/>
  <c r="AP178" i="1"/>
  <c r="AQ178" i="1" s="1"/>
  <c r="AB182" i="1"/>
  <c r="BL184" i="1"/>
  <c r="AY196" i="1"/>
  <c r="AX196" i="1"/>
  <c r="AC197" i="1"/>
  <c r="AB197" i="1"/>
  <c r="BL198" i="1"/>
  <c r="BM198" i="1"/>
  <c r="AB203" i="1"/>
  <c r="AX205" i="1"/>
  <c r="AP208" i="1"/>
  <c r="AQ208" i="1" s="1"/>
  <c r="AB209" i="1"/>
  <c r="BM213" i="1"/>
  <c r="BL213" i="1"/>
  <c r="AQ222" i="1"/>
  <c r="AB225" i="1"/>
  <c r="AP232" i="1"/>
  <c r="AQ232" i="1" s="1"/>
  <c r="BL233" i="1"/>
  <c r="AY238" i="1"/>
  <c r="BM246" i="1"/>
  <c r="BL246" i="1"/>
  <c r="BL249" i="1"/>
  <c r="BM255" i="1"/>
  <c r="BL255" i="1"/>
  <c r="AP259" i="1"/>
  <c r="AQ259" i="1" s="1"/>
  <c r="AO264" i="1"/>
  <c r="AP264" i="1" s="1"/>
  <c r="AX269" i="1"/>
  <c r="AY269" i="1"/>
  <c r="AY274" i="1"/>
  <c r="AX274" i="1"/>
  <c r="BM279" i="1"/>
  <c r="BL279" i="1"/>
  <c r="BM282" i="1"/>
  <c r="BL282" i="1"/>
  <c r="AP287" i="1"/>
  <c r="AQ287" i="1" s="1"/>
  <c r="AY292" i="1"/>
  <c r="AX292" i="1"/>
  <c r="AP67" i="1"/>
  <c r="AQ67" i="1" s="1"/>
  <c r="AP121" i="1"/>
  <c r="AQ121" i="1" s="1"/>
  <c r="AP126" i="1"/>
  <c r="AQ126" i="1" s="1"/>
  <c r="AP131" i="1"/>
  <c r="AQ131" i="1" s="1"/>
  <c r="AP136" i="1"/>
  <c r="AQ136" i="1" s="1"/>
  <c r="AP141" i="1"/>
  <c r="AQ141" i="1" s="1"/>
  <c r="AP159" i="1"/>
  <c r="AQ159" i="1" s="1"/>
  <c r="AP167" i="1"/>
  <c r="AQ167" i="1" s="1"/>
  <c r="BM185" i="1"/>
  <c r="BL185" i="1"/>
  <c r="AP199" i="1"/>
  <c r="AQ199" i="1" s="1"/>
  <c r="AY217" i="1"/>
  <c r="BK231" i="1"/>
  <c r="AB240" i="1"/>
  <c r="AC240" i="1"/>
  <c r="AQ247" i="1"/>
  <c r="AP251" i="1"/>
  <c r="AQ251" i="1" s="1"/>
  <c r="AQ256" i="1"/>
  <c r="AP261" i="1"/>
  <c r="AQ261" i="1" s="1"/>
  <c r="AP274" i="1"/>
  <c r="AQ274" i="1" s="1"/>
  <c r="BK286" i="1"/>
  <c r="AG290" i="1"/>
  <c r="AP292" i="1"/>
  <c r="AQ292" i="1" s="1"/>
  <c r="AP298" i="1"/>
  <c r="AQ298" i="1" s="1"/>
  <c r="AC303" i="1"/>
  <c r="BE1276" i="1"/>
  <c r="AB49" i="1"/>
  <c r="AP54" i="1"/>
  <c r="AQ54" i="1" s="1"/>
  <c r="AB58" i="1"/>
  <c r="AP110" i="1"/>
  <c r="AQ110" i="1" s="1"/>
  <c r="AP154" i="1"/>
  <c r="AQ154" i="1" s="1"/>
  <c r="AY164" i="1"/>
  <c r="AX169" i="1"/>
  <c r="AX173" i="1"/>
  <c r="AY173" i="1"/>
  <c r="BM174" i="1"/>
  <c r="BL174" i="1"/>
  <c r="AX184" i="1"/>
  <c r="AY184" i="1"/>
  <c r="BM195" i="1"/>
  <c r="BL195" i="1"/>
  <c r="AG206" i="1"/>
  <c r="AI206" i="1"/>
  <c r="AY209" i="1"/>
  <c r="AX209" i="1"/>
  <c r="AC210" i="1"/>
  <c r="AB210" i="1"/>
  <c r="AP220" i="1"/>
  <c r="AQ220" i="1" s="1"/>
  <c r="BL258" i="1"/>
  <c r="BM276" i="1"/>
  <c r="BL276" i="1"/>
  <c r="AP295" i="1"/>
  <c r="AQ295" i="1" s="1"/>
  <c r="AP302" i="1"/>
  <c r="AQ302" i="1" s="1"/>
  <c r="AA1276" i="1"/>
  <c r="BH1276" i="1"/>
  <c r="AC49" i="1"/>
  <c r="AY157" i="1"/>
  <c r="AX157" i="1"/>
  <c r="AP162" i="1"/>
  <c r="AQ162" i="1" s="1"/>
  <c r="AX167" i="1"/>
  <c r="BK171" i="1"/>
  <c r="AY172" i="1"/>
  <c r="AP182" i="1"/>
  <c r="AQ182" i="1" s="1"/>
  <c r="BL211" i="1"/>
  <c r="BK221" i="1"/>
  <c r="AY222" i="1"/>
  <c r="AP225" i="1"/>
  <c r="AQ225" i="1" s="1"/>
  <c r="AY226" i="1"/>
  <c r="BM232" i="1"/>
  <c r="BL232" i="1"/>
  <c r="AP236" i="1"/>
  <c r="AQ236" i="1" s="1"/>
  <c r="BL244" i="1"/>
  <c r="AB267" i="1"/>
  <c r="AC267" i="1"/>
  <c r="AQ270" i="1"/>
  <c r="AX281" i="1"/>
  <c r="AY281" i="1"/>
  <c r="BM294" i="1"/>
  <c r="BL294" i="1"/>
  <c r="BM297" i="1"/>
  <c r="BL297" i="1"/>
  <c r="AP299" i="1"/>
  <c r="AQ299" i="1" s="1"/>
  <c r="BM305" i="1"/>
  <c r="BL305" i="1"/>
  <c r="AY307" i="1"/>
  <c r="AX307" i="1"/>
  <c r="AB185" i="1"/>
  <c r="AC185" i="1"/>
  <c r="AX204" i="1"/>
  <c r="AY204" i="1"/>
  <c r="BM208" i="1"/>
  <c r="BL208" i="1"/>
  <c r="AX266" i="1"/>
  <c r="AY266" i="1"/>
  <c r="AP307" i="1"/>
  <c r="AQ307" i="1" s="1"/>
  <c r="AC309" i="1"/>
  <c r="AB309" i="1"/>
  <c r="AB153" i="1"/>
  <c r="BM156" i="1"/>
  <c r="BL156" i="1"/>
  <c r="AC158" i="1"/>
  <c r="AB158" i="1"/>
  <c r="BM171" i="1"/>
  <c r="AB174" i="1"/>
  <c r="AC174" i="1"/>
  <c r="BL183" i="1"/>
  <c r="BM183" i="1"/>
  <c r="AP191" i="1"/>
  <c r="AQ191" i="1" s="1"/>
  <c r="BM192" i="1"/>
  <c r="BL193" i="1"/>
  <c r="BM193" i="1"/>
  <c r="AY212" i="1"/>
  <c r="BL219" i="1"/>
  <c r="AY220" i="1"/>
  <c r="BM221" i="1"/>
  <c r="AP230" i="1"/>
  <c r="AQ230" i="1" s="1"/>
  <c r="AB249" i="1"/>
  <c r="AY265" i="1"/>
  <c r="AY271" i="1"/>
  <c r="AX271" i="1"/>
  <c r="BM273" i="1"/>
  <c r="BL273" i="1"/>
  <c r="AB282" i="1"/>
  <c r="AC282" i="1"/>
  <c r="AY295" i="1"/>
  <c r="AB311" i="1"/>
  <c r="AC311" i="1"/>
  <c r="BM230" i="1"/>
  <c r="BM244" i="1"/>
  <c r="BM252" i="1"/>
  <c r="BM262" i="1"/>
  <c r="AY263" i="1"/>
  <c r="BM285" i="1"/>
  <c r="BM288" i="1"/>
  <c r="BM300" i="1"/>
  <c r="BM303" i="1"/>
  <c r="BM315" i="1"/>
  <c r="BL315" i="1"/>
  <c r="AC320" i="1"/>
  <c r="AP321" i="1"/>
  <c r="AQ321" i="1" s="1"/>
  <c r="AP324" i="1"/>
  <c r="AQ324" i="1" s="1"/>
  <c r="AX344" i="1"/>
  <c r="BL346" i="1"/>
  <c r="BM346" i="1"/>
  <c r="AP347" i="1"/>
  <c r="AQ347" i="1" s="1"/>
  <c r="BM353" i="1"/>
  <c r="AP355" i="1"/>
  <c r="AQ355" i="1" s="1"/>
  <c r="AX361" i="1"/>
  <c r="AQ364" i="1"/>
  <c r="AX368" i="1"/>
  <c r="AY369" i="1"/>
  <c r="AX369" i="1"/>
  <c r="BM381" i="1"/>
  <c r="BL381" i="1"/>
  <c r="BM387" i="1"/>
  <c r="AP392" i="1"/>
  <c r="AQ392" i="1" s="1"/>
  <c r="AP396" i="1"/>
  <c r="AQ396" i="1" s="1"/>
  <c r="AY401" i="1"/>
  <c r="AX401" i="1"/>
  <c r="AX405" i="1"/>
  <c r="AY405" i="1"/>
  <c r="AC415" i="1"/>
  <c r="AC437" i="1"/>
  <c r="AB437" i="1"/>
  <c r="BL439" i="1"/>
  <c r="BM440" i="1"/>
  <c r="BL440" i="1"/>
  <c r="BK448" i="1"/>
  <c r="AP452" i="1"/>
  <c r="AQ452" i="1" s="1"/>
  <c r="AP465" i="1"/>
  <c r="AQ465" i="1" s="1"/>
  <c r="BL322" i="1"/>
  <c r="AX329" i="1"/>
  <c r="AX352" i="1"/>
  <c r="AP369" i="1"/>
  <c r="AQ369" i="1" s="1"/>
  <c r="AC370" i="1"/>
  <c r="AB370" i="1"/>
  <c r="BL371" i="1"/>
  <c r="BM371" i="1"/>
  <c r="AP397" i="1"/>
  <c r="AQ397" i="1" s="1"/>
  <c r="AP401" i="1"/>
  <c r="AQ401" i="1" s="1"/>
  <c r="AC402" i="1"/>
  <c r="AB402" i="1"/>
  <c r="AP405" i="1"/>
  <c r="AQ405" i="1" s="1"/>
  <c r="AX408" i="1"/>
  <c r="BL442" i="1"/>
  <c r="BM442" i="1"/>
  <c r="AP183" i="1"/>
  <c r="AQ183" i="1" s="1"/>
  <c r="AP193" i="1"/>
  <c r="AQ193" i="1" s="1"/>
  <c r="AP198" i="1"/>
  <c r="AQ198" i="1" s="1"/>
  <c r="AP203" i="1"/>
  <c r="AQ203" i="1" s="1"/>
  <c r="AP216" i="1"/>
  <c r="AQ216" i="1" s="1"/>
  <c r="AP243" i="1"/>
  <c r="AQ243" i="1" s="1"/>
  <c r="AP252" i="1"/>
  <c r="AQ252" i="1" s="1"/>
  <c r="AB272" i="1"/>
  <c r="AB275" i="1"/>
  <c r="AB278" i="1"/>
  <c r="AG279" i="1"/>
  <c r="AB293" i="1"/>
  <c r="AQ311" i="1"/>
  <c r="AQ314" i="1"/>
  <c r="AQ320" i="1"/>
  <c r="AX321" i="1"/>
  <c r="AX324" i="1"/>
  <c r="AP327" i="1"/>
  <c r="AQ327" i="1" s="1"/>
  <c r="AB328" i="1"/>
  <c r="AB331" i="1"/>
  <c r="BM333" i="1"/>
  <c r="BL333" i="1"/>
  <c r="AX355" i="1"/>
  <c r="BL360" i="1"/>
  <c r="AY377" i="1"/>
  <c r="AB381" i="1"/>
  <c r="AX386" i="1"/>
  <c r="BL390" i="1"/>
  <c r="BM394" i="1"/>
  <c r="BL394" i="1"/>
  <c r="BM399" i="1"/>
  <c r="BL399" i="1"/>
  <c r="BM410" i="1"/>
  <c r="BL410" i="1"/>
  <c r="AP411" i="1"/>
  <c r="AQ411" i="1" s="1"/>
  <c r="BM430" i="1"/>
  <c r="BL430" i="1"/>
  <c r="AB434" i="1"/>
  <c r="AP436" i="1"/>
  <c r="AQ436" i="1" s="1"/>
  <c r="AP437" i="1"/>
  <c r="AQ437" i="1" s="1"/>
  <c r="AX438" i="1"/>
  <c r="AY438" i="1"/>
  <c r="AC304" i="1"/>
  <c r="BM310" i="1"/>
  <c r="BL310" i="1"/>
  <c r="BL328" i="1"/>
  <c r="BL337" i="1"/>
  <c r="AB339" i="1"/>
  <c r="AC339" i="1"/>
  <c r="AB343" i="1"/>
  <c r="BL343" i="1"/>
  <c r="AY347" i="1"/>
  <c r="BK376" i="1"/>
  <c r="AX380" i="1"/>
  <c r="BL404" i="1"/>
  <c r="AB413" i="1"/>
  <c r="AP428" i="1"/>
  <c r="AQ428" i="1" s="1"/>
  <c r="AB435" i="1"/>
  <c r="BK462" i="1"/>
  <c r="BM319" i="1"/>
  <c r="BL319" i="1"/>
  <c r="AB323" i="1"/>
  <c r="AB346" i="1"/>
  <c r="BM359" i="1"/>
  <c r="BL359" i="1"/>
  <c r="AP370" i="1"/>
  <c r="AQ370" i="1" s="1"/>
  <c r="AP375" i="1"/>
  <c r="AQ375" i="1" s="1"/>
  <c r="BM389" i="1"/>
  <c r="BL389" i="1"/>
  <c r="AB394" i="1"/>
  <c r="AP398" i="1"/>
  <c r="AQ398" i="1" s="1"/>
  <c r="AY416" i="1"/>
  <c r="AX416" i="1"/>
  <c r="AB427" i="1"/>
  <c r="AC427" i="1"/>
  <c r="AP434" i="1"/>
  <c r="AQ434" i="1" s="1"/>
  <c r="AC449" i="1"/>
  <c r="AC454" i="1"/>
  <c r="BK313" i="1"/>
  <c r="BM327" i="1"/>
  <c r="BL327" i="1"/>
  <c r="AX335" i="1"/>
  <c r="AY335" i="1"/>
  <c r="AP351" i="1"/>
  <c r="AQ351" i="1" s="1"/>
  <c r="AQ360" i="1"/>
  <c r="AP363" i="1"/>
  <c r="AQ363" i="1" s="1"/>
  <c r="AB368" i="1"/>
  <c r="AC368" i="1"/>
  <c r="AB376" i="1"/>
  <c r="AI381" i="1"/>
  <c r="AG381" i="1"/>
  <c r="AQ388" i="1"/>
  <c r="AQ390" i="1"/>
  <c r="BM391" i="1"/>
  <c r="AY403" i="1"/>
  <c r="AX403" i="1"/>
  <c r="AB418" i="1"/>
  <c r="AC422" i="1"/>
  <c r="AB422" i="1"/>
  <c r="AB426" i="1"/>
  <c r="AG434" i="1"/>
  <c r="AB441" i="1"/>
  <c r="AC441" i="1"/>
  <c r="AC443" i="1"/>
  <c r="AB443" i="1"/>
  <c r="AC479" i="1"/>
  <c r="AB479" i="1"/>
  <c r="AY323" i="1"/>
  <c r="AX323" i="1"/>
  <c r="AC386" i="1"/>
  <c r="AB386" i="1"/>
  <c r="AX391" i="1"/>
  <c r="AY391" i="1"/>
  <c r="AY441" i="1"/>
  <c r="AX441" i="1"/>
  <c r="AC442" i="1"/>
  <c r="AB442" i="1"/>
  <c r="AC477" i="1"/>
  <c r="AB477" i="1"/>
  <c r="AP309" i="1"/>
  <c r="AQ309" i="1" s="1"/>
  <c r="AP323" i="1"/>
  <c r="AQ323" i="1" s="1"/>
  <c r="AC324" i="1"/>
  <c r="AB324" i="1"/>
  <c r="AY331" i="1"/>
  <c r="AB334" i="1"/>
  <c r="AY341" i="1"/>
  <c r="AX341" i="1"/>
  <c r="BL365" i="1"/>
  <c r="BM365" i="1"/>
  <c r="AG366" i="1"/>
  <c r="AP373" i="1"/>
  <c r="AQ373" i="1" s="1"/>
  <c r="AB377" i="1"/>
  <c r="AY379" i="1"/>
  <c r="AX379" i="1"/>
  <c r="AB384" i="1"/>
  <c r="BL384" i="1"/>
  <c r="AC395" i="1"/>
  <c r="AB395" i="1"/>
  <c r="BM415" i="1"/>
  <c r="BL415" i="1"/>
  <c r="AP421" i="1"/>
  <c r="AQ421" i="1" s="1"/>
  <c r="AP422" i="1"/>
  <c r="AQ422" i="1" s="1"/>
  <c r="AB423" i="1"/>
  <c r="BM447" i="1"/>
  <c r="BL447" i="1"/>
  <c r="AP451" i="1"/>
  <c r="AQ451" i="1" s="1"/>
  <c r="AP473" i="1"/>
  <c r="AQ473" i="1" s="1"/>
  <c r="AY478" i="1"/>
  <c r="AX478" i="1"/>
  <c r="BL325" i="1"/>
  <c r="AP326" i="1"/>
  <c r="AQ326" i="1" s="1"/>
  <c r="AY328" i="1"/>
  <c r="BK330" i="1"/>
  <c r="AB336" i="1"/>
  <c r="AC336" i="1"/>
  <c r="AP341" i="1"/>
  <c r="AQ341" i="1" s="1"/>
  <c r="AC342" i="1"/>
  <c r="AB342" i="1"/>
  <c r="AY349" i="1"/>
  <c r="AX349" i="1"/>
  <c r="BL369" i="1"/>
  <c r="BL374" i="1"/>
  <c r="AC380" i="1"/>
  <c r="AB380" i="1"/>
  <c r="AX383" i="1"/>
  <c r="AY395" i="1"/>
  <c r="AX395" i="1"/>
  <c r="AX396" i="1"/>
  <c r="AY396" i="1"/>
  <c r="BL397" i="1"/>
  <c r="AC400" i="1"/>
  <c r="AB400" i="1"/>
  <c r="BL405" i="1"/>
  <c r="AC412" i="1"/>
  <c r="AB412" i="1"/>
  <c r="BM416" i="1"/>
  <c r="BL416" i="1"/>
  <c r="AX431" i="1"/>
  <c r="AY431" i="1"/>
  <c r="AQ441" i="1"/>
  <c r="BM453" i="1"/>
  <c r="BL453" i="1"/>
  <c r="AX469" i="1"/>
  <c r="AY469" i="1"/>
  <c r="AY316" i="1"/>
  <c r="AX316" i="1"/>
  <c r="AC317" i="1"/>
  <c r="AB317" i="1"/>
  <c r="BL318" i="1"/>
  <c r="BM318" i="1"/>
  <c r="AP344" i="1"/>
  <c r="AQ344" i="1" s="1"/>
  <c r="AC350" i="1"/>
  <c r="AB350" i="1"/>
  <c r="BM378" i="1"/>
  <c r="BL378" i="1"/>
  <c r="AY400" i="1"/>
  <c r="AX400" i="1"/>
  <c r="AY458" i="1"/>
  <c r="AX458" i="1"/>
  <c r="AC460" i="1"/>
  <c r="AB460" i="1"/>
  <c r="BL311" i="1"/>
  <c r="BK325" i="1"/>
  <c r="BM330" i="1"/>
  <c r="BM348" i="1"/>
  <c r="BL348" i="1"/>
  <c r="BL351" i="1"/>
  <c r="AP352" i="1"/>
  <c r="AQ352" i="1" s="1"/>
  <c r="AB362" i="1"/>
  <c r="BL362" i="1"/>
  <c r="AP382" i="1"/>
  <c r="AQ382" i="1" s="1"/>
  <c r="AB397" i="1"/>
  <c r="AQ404" i="1"/>
  <c r="AI423" i="1"/>
  <c r="AG423" i="1"/>
  <c r="AP430" i="1"/>
  <c r="AQ430" i="1" s="1"/>
  <c r="AY436" i="1"/>
  <c r="AX436" i="1"/>
  <c r="AY440" i="1"/>
  <c r="AY451" i="1"/>
  <c r="AQ458" i="1"/>
  <c r="AC459" i="1"/>
  <c r="AB459" i="1"/>
  <c r="AX460" i="1"/>
  <c r="AY460" i="1"/>
  <c r="AY417" i="1"/>
  <c r="BL422" i="1"/>
  <c r="AP424" i="1"/>
  <c r="AQ424" i="1" s="1"/>
  <c r="BK430" i="1"/>
  <c r="BL454" i="1"/>
  <c r="AQ463" i="1"/>
  <c r="AP535" i="1"/>
  <c r="AQ535" i="1" s="1"/>
  <c r="AP628" i="1"/>
  <c r="AQ628" i="1" s="1"/>
  <c r="AP413" i="1"/>
  <c r="AQ413" i="1" s="1"/>
  <c r="AP418" i="1"/>
  <c r="AQ418" i="1" s="1"/>
  <c r="AP443" i="1"/>
  <c r="AQ443" i="1" s="1"/>
  <c r="AY448" i="1"/>
  <c r="AC450" i="1"/>
  <c r="AB450" i="1"/>
  <c r="AY563" i="1"/>
  <c r="AX563" i="1"/>
  <c r="BM654" i="1"/>
  <c r="BL654" i="1"/>
  <c r="AP318" i="1"/>
  <c r="AQ318" i="1" s="1"/>
  <c r="AC407" i="1"/>
  <c r="AB407" i="1"/>
  <c r="AY411" i="1"/>
  <c r="AX411" i="1"/>
  <c r="AC421" i="1"/>
  <c r="AP439" i="1"/>
  <c r="AQ439" i="1" s="1"/>
  <c r="BM448" i="1"/>
  <c r="BL448" i="1"/>
  <c r="AP449" i="1"/>
  <c r="AQ449" i="1" s="1"/>
  <c r="AB456" i="1"/>
  <c r="AP457" i="1"/>
  <c r="AQ457" i="1" s="1"/>
  <c r="BM459" i="1"/>
  <c r="BL459" i="1"/>
  <c r="AC465" i="1"/>
  <c r="AQ468" i="1"/>
  <c r="AQ471" i="1"/>
  <c r="AY486" i="1"/>
  <c r="AX486" i="1"/>
  <c r="BM622" i="1"/>
  <c r="BL622" i="1"/>
  <c r="AY421" i="1"/>
  <c r="AX421" i="1"/>
  <c r="BM423" i="1"/>
  <c r="BL423" i="1"/>
  <c r="AP446" i="1"/>
  <c r="AQ446" i="1" s="1"/>
  <c r="AP450" i="1"/>
  <c r="AQ450" i="1" s="1"/>
  <c r="AB451" i="1"/>
  <c r="BL463" i="1"/>
  <c r="AC473" i="1"/>
  <c r="BK511" i="1"/>
  <c r="AY488" i="1"/>
  <c r="AX488" i="1"/>
  <c r="AC503" i="1"/>
  <c r="AB503" i="1"/>
  <c r="AP557" i="1"/>
  <c r="AQ557" i="1" s="1"/>
  <c r="BM584" i="1"/>
  <c r="BL584" i="1"/>
  <c r="BM603" i="1"/>
  <c r="BL603" i="1"/>
  <c r="BM780" i="1"/>
  <c r="BL780" i="1"/>
  <c r="BM500" i="1"/>
  <c r="BL500" i="1"/>
  <c r="AY509" i="1"/>
  <c r="AX509" i="1"/>
  <c r="AC710" i="1"/>
  <c r="AB710" i="1"/>
  <c r="AP412" i="1"/>
  <c r="AQ412" i="1" s="1"/>
  <c r="BM420" i="1"/>
  <c r="BL420" i="1"/>
  <c r="BL431" i="1"/>
  <c r="BK443" i="1"/>
  <c r="AY454" i="1"/>
  <c r="AX454" i="1"/>
  <c r="BL464" i="1"/>
  <c r="BK467" i="1"/>
  <c r="BK470" i="1"/>
  <c r="AQ479" i="1"/>
  <c r="AY480" i="1"/>
  <c r="AX480" i="1"/>
  <c r="AY549" i="1"/>
  <c r="AX549" i="1"/>
  <c r="AC551" i="1"/>
  <c r="AB551" i="1"/>
  <c r="AY552" i="1"/>
  <c r="AX552" i="1"/>
  <c r="AP504" i="1"/>
  <c r="AQ504" i="1" s="1"/>
  <c r="AC522" i="1"/>
  <c r="AB522" i="1"/>
  <c r="AP525" i="1"/>
  <c r="AQ525" i="1" s="1"/>
  <c r="AP579" i="1"/>
  <c r="AQ579" i="1" s="1"/>
  <c r="AG599" i="1"/>
  <c r="AC599" i="1"/>
  <c r="AB599" i="1"/>
  <c r="BL450" i="1"/>
  <c r="AX481" i="1"/>
  <c r="AP491" i="1"/>
  <c r="AQ491" i="1" s="1"/>
  <c r="AC493" i="1"/>
  <c r="AB493" i="1"/>
  <c r="AC495" i="1"/>
  <c r="AB495" i="1"/>
  <c r="AY520" i="1"/>
  <c r="AX520" i="1"/>
  <c r="AP523" i="1"/>
  <c r="AQ523" i="1" s="1"/>
  <c r="AP600" i="1"/>
  <c r="AQ600" i="1" s="1"/>
  <c r="BM477" i="1"/>
  <c r="BL477" i="1"/>
  <c r="AC542" i="1"/>
  <c r="AB542" i="1"/>
  <c r="AP460" i="1"/>
  <c r="AQ460" i="1" s="1"/>
  <c r="AY496" i="1"/>
  <c r="AX496" i="1"/>
  <c r="AY540" i="1"/>
  <c r="AX540" i="1"/>
  <c r="AP612" i="1"/>
  <c r="AQ612" i="1" s="1"/>
  <c r="BM665" i="1"/>
  <c r="BL665" i="1"/>
  <c r="AO667" i="1"/>
  <c r="AP667" i="1" s="1"/>
  <c r="BM402" i="1"/>
  <c r="BL402" i="1"/>
  <c r="AC404" i="1"/>
  <c r="AB404" i="1"/>
  <c r="AY406" i="1"/>
  <c r="AX406" i="1"/>
  <c r="AP408" i="1"/>
  <c r="AQ408" i="1" s="1"/>
  <c r="AY425" i="1"/>
  <c r="AP435" i="1"/>
  <c r="AQ435" i="1" s="1"/>
  <c r="AP438" i="1"/>
  <c r="AQ438" i="1" s="1"/>
  <c r="AP442" i="1"/>
  <c r="AQ442" i="1" s="1"/>
  <c r="AY449" i="1"/>
  <c r="AX449" i="1"/>
  <c r="BL457" i="1"/>
  <c r="BL468" i="1"/>
  <c r="AY514" i="1"/>
  <c r="AX514" i="1"/>
  <c r="AP538" i="1"/>
  <c r="AQ538" i="1" s="1"/>
  <c r="BM595" i="1"/>
  <c r="BL595" i="1"/>
  <c r="AC614" i="1"/>
  <c r="AC625" i="1"/>
  <c r="AB625" i="1"/>
  <c r="BM629" i="1"/>
  <c r="BL629" i="1"/>
  <c r="AP643" i="1"/>
  <c r="AQ643" i="1" s="1"/>
  <c r="AP655" i="1"/>
  <c r="AQ655" i="1" s="1"/>
  <c r="AP660" i="1"/>
  <c r="AQ660" i="1" s="1"/>
  <c r="AP731" i="1"/>
  <c r="AQ731" i="1" s="1"/>
  <c r="AO834" i="1"/>
  <c r="AC476" i="1"/>
  <c r="AB476" i="1"/>
  <c r="AP480" i="1"/>
  <c r="AQ480" i="1" s="1"/>
  <c r="AQ485" i="1"/>
  <c r="AP486" i="1"/>
  <c r="AQ486" i="1" s="1"/>
  <c r="BK490" i="1"/>
  <c r="AP496" i="1"/>
  <c r="AQ496" i="1" s="1"/>
  <c r="AY504" i="1"/>
  <c r="AX504" i="1"/>
  <c r="AP509" i="1"/>
  <c r="AQ509" i="1" s="1"/>
  <c r="AP514" i="1"/>
  <c r="AQ514" i="1" s="1"/>
  <c r="AP520" i="1"/>
  <c r="AQ520" i="1" s="1"/>
  <c r="AY525" i="1"/>
  <c r="AX525" i="1"/>
  <c r="BK527" i="1"/>
  <c r="AY535" i="1"/>
  <c r="AX535" i="1"/>
  <c r="AP536" i="1"/>
  <c r="AQ536" i="1" s="1"/>
  <c r="AC543" i="1"/>
  <c r="AB543" i="1"/>
  <c r="AP549" i="1"/>
  <c r="AQ549" i="1" s="1"/>
  <c r="AY557" i="1"/>
  <c r="AX557" i="1"/>
  <c r="AY579" i="1"/>
  <c r="AX579" i="1"/>
  <c r="BM590" i="1"/>
  <c r="BL590" i="1"/>
  <c r="BK593" i="1"/>
  <c r="AQ598" i="1"/>
  <c r="BM668" i="1"/>
  <c r="BL668" i="1"/>
  <c r="AY498" i="1"/>
  <c r="AX498" i="1"/>
  <c r="AC534" i="1"/>
  <c r="AB534" i="1"/>
  <c r="AI543" i="1"/>
  <c r="AG543" i="1"/>
  <c r="AP552" i="1"/>
  <c r="AQ552" i="1" s="1"/>
  <c r="AP560" i="1"/>
  <c r="AQ560" i="1" s="1"/>
  <c r="AP563" i="1"/>
  <c r="AQ563" i="1" s="1"/>
  <c r="BM570" i="1"/>
  <c r="BL570" i="1"/>
  <c r="AC581" i="1"/>
  <c r="AB581" i="1"/>
  <c r="BM587" i="1"/>
  <c r="BL587" i="1"/>
  <c r="BM611" i="1"/>
  <c r="BL611" i="1"/>
  <c r="AP640" i="1"/>
  <c r="AQ640" i="1" s="1"/>
  <c r="AC648" i="1"/>
  <c r="AB648" i="1"/>
  <c r="AY714" i="1"/>
  <c r="AX714" i="1"/>
  <c r="BM791" i="1"/>
  <c r="BL791" i="1"/>
  <c r="AX797" i="1"/>
  <c r="AY797" i="1"/>
  <c r="AB798" i="1"/>
  <c r="AC798" i="1"/>
  <c r="AC832" i="1"/>
  <c r="AB832" i="1"/>
  <c r="AP1092" i="1"/>
  <c r="AQ1092" i="1" s="1"/>
  <c r="AB396" i="1"/>
  <c r="AB401" i="1"/>
  <c r="AB417" i="1"/>
  <c r="AB425" i="1"/>
  <c r="AG426" i="1"/>
  <c r="BL429" i="1"/>
  <c r="BL445" i="1"/>
  <c r="AX446" i="1"/>
  <c r="AB447" i="1"/>
  <c r="AB455" i="1"/>
  <c r="BL462" i="1"/>
  <c r="AX463" i="1"/>
  <c r="AB464" i="1"/>
  <c r="BL467" i="1"/>
  <c r="BL470" i="1"/>
  <c r="AX471" i="1"/>
  <c r="AB472" i="1"/>
  <c r="BM479" i="1"/>
  <c r="BL479" i="1"/>
  <c r="AP481" i="1"/>
  <c r="AQ481" i="1" s="1"/>
  <c r="BM485" i="1"/>
  <c r="BL485" i="1"/>
  <c r="BM495" i="1"/>
  <c r="BL495" i="1"/>
  <c r="AC500" i="1"/>
  <c r="AB500" i="1"/>
  <c r="AY506" i="1"/>
  <c r="AX506" i="1"/>
  <c r="BM508" i="1"/>
  <c r="BL508" i="1"/>
  <c r="AB511" i="1"/>
  <c r="BM513" i="1"/>
  <c r="BL513" i="1"/>
  <c r="AB516" i="1"/>
  <c r="AY530" i="1"/>
  <c r="AX530" i="1"/>
  <c r="AB532" i="1"/>
  <c r="BM548" i="1"/>
  <c r="BL548" i="1"/>
  <c r="AB554" i="1"/>
  <c r="AY564" i="1"/>
  <c r="AC573" i="1"/>
  <c r="AB573" i="1"/>
  <c r="BM598" i="1"/>
  <c r="BL598" i="1"/>
  <c r="AB603" i="1"/>
  <c r="AB606" i="1"/>
  <c r="AY620" i="1"/>
  <c r="AX620" i="1"/>
  <c r="AY645" i="1"/>
  <c r="AX645" i="1"/>
  <c r="AB657" i="1"/>
  <c r="AP714" i="1"/>
  <c r="AQ714" i="1" s="1"/>
  <c r="BM716" i="1"/>
  <c r="BL716" i="1"/>
  <c r="AC722" i="1"/>
  <c r="AB722" i="1"/>
  <c r="AY779" i="1"/>
  <c r="AX779" i="1"/>
  <c r="AP785" i="1"/>
  <c r="AQ785" i="1" s="1"/>
  <c r="BL1158" i="1"/>
  <c r="BM1158" i="1"/>
  <c r="AC1163" i="1"/>
  <c r="AB1163" i="1"/>
  <c r="BK478" i="1"/>
  <c r="BK480" i="1"/>
  <c r="BK486" i="1"/>
  <c r="BM487" i="1"/>
  <c r="BL487" i="1"/>
  <c r="BM503" i="1"/>
  <c r="BL503" i="1"/>
  <c r="BM519" i="1"/>
  <c r="BL519" i="1"/>
  <c r="AP530" i="1"/>
  <c r="AQ530" i="1" s="1"/>
  <c r="AP555" i="1"/>
  <c r="AQ555" i="1" s="1"/>
  <c r="BM578" i="1"/>
  <c r="BL578" i="1"/>
  <c r="AY582" i="1"/>
  <c r="AX582" i="1"/>
  <c r="AY607" i="1"/>
  <c r="AX607" i="1"/>
  <c r="AP626" i="1"/>
  <c r="AQ626" i="1" s="1"/>
  <c r="AP627" i="1"/>
  <c r="AQ627" i="1" s="1"/>
  <c r="AY633" i="1"/>
  <c r="AX633" i="1"/>
  <c r="AP636" i="1"/>
  <c r="AQ636" i="1" s="1"/>
  <c r="BK639" i="1"/>
  <c r="AY652" i="1"/>
  <c r="AX652" i="1"/>
  <c r="AP658" i="1"/>
  <c r="AQ658" i="1" s="1"/>
  <c r="AQ905" i="1"/>
  <c r="BM497" i="1"/>
  <c r="BL497" i="1"/>
  <c r="AY501" i="1"/>
  <c r="AX501" i="1"/>
  <c r="AY517" i="1"/>
  <c r="AX517" i="1"/>
  <c r="BL522" i="1"/>
  <c r="BM524" i="1"/>
  <c r="BL524" i="1"/>
  <c r="BM539" i="1"/>
  <c r="BL539" i="1"/>
  <c r="BM556" i="1"/>
  <c r="BL556" i="1"/>
  <c r="BK574" i="1"/>
  <c r="AY576" i="1"/>
  <c r="AX576" i="1"/>
  <c r="AP582" i="1"/>
  <c r="AQ582" i="1" s="1"/>
  <c r="AC584" i="1"/>
  <c r="AB584" i="1"/>
  <c r="AP607" i="1"/>
  <c r="AQ607" i="1" s="1"/>
  <c r="AC622" i="1"/>
  <c r="AB622" i="1"/>
  <c r="AP633" i="1"/>
  <c r="AQ633" i="1" s="1"/>
  <c r="BK642" i="1"/>
  <c r="AP652" i="1"/>
  <c r="AQ652" i="1" s="1"/>
  <c r="AQ657" i="1"/>
  <c r="BM755" i="1"/>
  <c r="BL755" i="1"/>
  <c r="BM883" i="1"/>
  <c r="BL883" i="1"/>
  <c r="AC928" i="1"/>
  <c r="AB928" i="1"/>
  <c r="AP986" i="1"/>
  <c r="AQ986" i="1" s="1"/>
  <c r="AP501" i="1"/>
  <c r="AQ501" i="1" s="1"/>
  <c r="BM505" i="1"/>
  <c r="BL505" i="1"/>
  <c r="AP517" i="1"/>
  <c r="AQ517" i="1" s="1"/>
  <c r="BM534" i="1"/>
  <c r="BL534" i="1"/>
  <c r="BM542" i="1"/>
  <c r="BL542" i="1"/>
  <c r="AP576" i="1"/>
  <c r="AQ576" i="1" s="1"/>
  <c r="AY585" i="1"/>
  <c r="AX585" i="1"/>
  <c r="AY591" i="1"/>
  <c r="AX591" i="1"/>
  <c r="AX593" i="1"/>
  <c r="AY593" i="1"/>
  <c r="BM599" i="1"/>
  <c r="BL599" i="1"/>
  <c r="AY615" i="1"/>
  <c r="AX615" i="1"/>
  <c r="BM625" i="1"/>
  <c r="BL625" i="1"/>
  <c r="BM644" i="1"/>
  <c r="BL644" i="1"/>
  <c r="AC654" i="1"/>
  <c r="AB654" i="1"/>
  <c r="AY696" i="1"/>
  <c r="AX696" i="1"/>
  <c r="AC698" i="1"/>
  <c r="AB698" i="1"/>
  <c r="AY892" i="1"/>
  <c r="AX892" i="1"/>
  <c r="BK481" i="1"/>
  <c r="AY483" i="1"/>
  <c r="AX483" i="1"/>
  <c r="BK522" i="1"/>
  <c r="AP528" i="1"/>
  <c r="AQ528" i="1" s="1"/>
  <c r="BM551" i="1"/>
  <c r="BL551" i="1"/>
  <c r="BK559" i="1"/>
  <c r="BM562" i="1"/>
  <c r="BL562" i="1"/>
  <c r="AP569" i="1"/>
  <c r="AQ569" i="1" s="1"/>
  <c r="AP585" i="1"/>
  <c r="AQ585" i="1" s="1"/>
  <c r="AP591" i="1"/>
  <c r="AQ591" i="1" s="1"/>
  <c r="AP594" i="1"/>
  <c r="AQ594" i="1" s="1"/>
  <c r="AY596" i="1"/>
  <c r="AX596" i="1"/>
  <c r="AP615" i="1"/>
  <c r="AQ615" i="1" s="1"/>
  <c r="BM619" i="1"/>
  <c r="BL619" i="1"/>
  <c r="AP621" i="1"/>
  <c r="AQ621" i="1" s="1"/>
  <c r="BM632" i="1"/>
  <c r="BL632" i="1"/>
  <c r="AB642" i="1"/>
  <c r="AY649" i="1"/>
  <c r="AX649" i="1"/>
  <c r="BM651" i="1"/>
  <c r="BL651" i="1"/>
  <c r="AP661" i="1"/>
  <c r="AQ661" i="1" s="1"/>
  <c r="AC682" i="1"/>
  <c r="AB682" i="1"/>
  <c r="AP683" i="1"/>
  <c r="AQ683" i="1" s="1"/>
  <c r="AC901" i="1"/>
  <c r="AB901" i="1"/>
  <c r="BK475" i="1"/>
  <c r="AP483" i="1"/>
  <c r="AQ483" i="1" s="1"/>
  <c r="AP484" i="1"/>
  <c r="AQ484" i="1" s="1"/>
  <c r="BM529" i="1"/>
  <c r="BL529" i="1"/>
  <c r="BK537" i="1"/>
  <c r="BM581" i="1"/>
  <c r="BL581" i="1"/>
  <c r="AY588" i="1"/>
  <c r="AX588" i="1"/>
  <c r="AC590" i="1"/>
  <c r="AB590" i="1"/>
  <c r="BM606" i="1"/>
  <c r="BL606" i="1"/>
  <c r="AC611" i="1"/>
  <c r="AB611" i="1"/>
  <c r="AY623" i="1"/>
  <c r="AX623" i="1"/>
  <c r="AY630" i="1"/>
  <c r="AX630" i="1"/>
  <c r="AY646" i="1"/>
  <c r="AX646" i="1"/>
  <c r="AP649" i="1"/>
  <c r="AQ649" i="1" s="1"/>
  <c r="AY680" i="1"/>
  <c r="AX680" i="1"/>
  <c r="AY681" i="1"/>
  <c r="AX681" i="1"/>
  <c r="AP684" i="1"/>
  <c r="AQ684" i="1" s="1"/>
  <c r="BM516" i="1"/>
  <c r="BL516" i="1"/>
  <c r="AY566" i="1"/>
  <c r="AX566" i="1"/>
  <c r="AC578" i="1"/>
  <c r="AB578" i="1"/>
  <c r="AP588" i="1"/>
  <c r="AQ588" i="1" s="1"/>
  <c r="BM614" i="1"/>
  <c r="BL614" i="1"/>
  <c r="AP623" i="1"/>
  <c r="AQ623" i="1" s="1"/>
  <c r="BM626" i="1"/>
  <c r="BL626" i="1"/>
  <c r="AP646" i="1"/>
  <c r="AQ646" i="1" s="1"/>
  <c r="BM648" i="1"/>
  <c r="BL648" i="1"/>
  <c r="AC746" i="1"/>
  <c r="AB746" i="1"/>
  <c r="BM841" i="1"/>
  <c r="BL841" i="1"/>
  <c r="AP843" i="1"/>
  <c r="AQ843" i="1" s="1"/>
  <c r="AB519" i="1"/>
  <c r="AP566" i="1"/>
  <c r="AQ566" i="1" s="1"/>
  <c r="AY571" i="1"/>
  <c r="AX571" i="1"/>
  <c r="AP572" i="1"/>
  <c r="AQ572" i="1" s="1"/>
  <c r="AC587" i="1"/>
  <c r="AB587" i="1"/>
  <c r="BM592" i="1"/>
  <c r="BL592" i="1"/>
  <c r="AY612" i="1"/>
  <c r="AX612" i="1"/>
  <c r="AY655" i="1"/>
  <c r="AX655" i="1"/>
  <c r="BK657" i="1"/>
  <c r="AY666" i="1"/>
  <c r="AX666" i="1"/>
  <c r="AP735" i="1"/>
  <c r="AQ735" i="1" s="1"/>
  <c r="AB520" i="1"/>
  <c r="AC523" i="1"/>
  <c r="AQ524" i="1"/>
  <c r="BM526" i="1"/>
  <c r="AY527" i="1"/>
  <c r="AC528" i="1"/>
  <c r="AQ529" i="1"/>
  <c r="BL533" i="1"/>
  <c r="AX534" i="1"/>
  <c r="AB535" i="1"/>
  <c r="AY537" i="1"/>
  <c r="AC538" i="1"/>
  <c r="AP539" i="1"/>
  <c r="AQ539" i="1" s="1"/>
  <c r="BL541" i="1"/>
  <c r="AX542" i="1"/>
  <c r="AC547" i="1"/>
  <c r="AB552" i="1"/>
  <c r="BM553" i="1"/>
  <c r="AY554" i="1"/>
  <c r="AC555" i="1"/>
  <c r="BM558" i="1"/>
  <c r="AY559" i="1"/>
  <c r="AC560" i="1"/>
  <c r="AP561" i="1"/>
  <c r="AQ561" i="1" s="1"/>
  <c r="AX562" i="1"/>
  <c r="AB563" i="1"/>
  <c r="BM564" i="1"/>
  <c r="AB566" i="1"/>
  <c r="AP567" i="1"/>
  <c r="AQ567" i="1" s="1"/>
  <c r="AY574" i="1"/>
  <c r="AC575" i="1"/>
  <c r="AB576" i="1"/>
  <c r="BL577" i="1"/>
  <c r="BL580" i="1"/>
  <c r="BL583" i="1"/>
  <c r="BL586" i="1"/>
  <c r="AX587" i="1"/>
  <c r="AB588" i="1"/>
  <c r="BL589" i="1"/>
  <c r="AX590" i="1"/>
  <c r="AB591" i="1"/>
  <c r="AP592" i="1"/>
  <c r="AQ592" i="1" s="1"/>
  <c r="AC594" i="1"/>
  <c r="AQ603" i="1"/>
  <c r="AC604" i="1"/>
  <c r="BM605" i="1"/>
  <c r="AY669" i="1"/>
  <c r="AX669" i="1"/>
  <c r="AY670" i="1"/>
  <c r="AX670" i="1"/>
  <c r="AY672" i="1"/>
  <c r="AX672" i="1"/>
  <c r="BK675" i="1"/>
  <c r="AC683" i="1"/>
  <c r="AB683" i="1"/>
  <c r="BM704" i="1"/>
  <c r="BL704" i="1"/>
  <c r="AY717" i="1"/>
  <c r="AX717" i="1"/>
  <c r="AC727" i="1"/>
  <c r="AB727" i="1"/>
  <c r="AY756" i="1"/>
  <c r="AX756" i="1"/>
  <c r="BM763" i="1"/>
  <c r="BL763" i="1"/>
  <c r="AP776" i="1"/>
  <c r="AQ776" i="1" s="1"/>
  <c r="AX806" i="1"/>
  <c r="AY806" i="1"/>
  <c r="AB844" i="1"/>
  <c r="BM846" i="1"/>
  <c r="BL846" i="1"/>
  <c r="AP896" i="1"/>
  <c r="AQ896" i="1" s="1"/>
  <c r="AX955" i="1"/>
  <c r="AY955" i="1"/>
  <c r="AP672" i="1"/>
  <c r="AQ672" i="1" s="1"/>
  <c r="AY683" i="1"/>
  <c r="AX683" i="1"/>
  <c r="BM688" i="1"/>
  <c r="BL688" i="1"/>
  <c r="AP708" i="1"/>
  <c r="AQ708" i="1" s="1"/>
  <c r="AP730" i="1"/>
  <c r="AQ730" i="1" s="1"/>
  <c r="BM741" i="1"/>
  <c r="BL741" i="1"/>
  <c r="BK748" i="1"/>
  <c r="AP756" i="1"/>
  <c r="AQ756" i="1" s="1"/>
  <c r="AY758" i="1"/>
  <c r="AX758" i="1"/>
  <c r="BM772" i="1"/>
  <c r="BL772" i="1"/>
  <c r="AP806" i="1"/>
  <c r="AQ806" i="1" s="1"/>
  <c r="AC886" i="1"/>
  <c r="AB886" i="1"/>
  <c r="AY906" i="1"/>
  <c r="AX906" i="1"/>
  <c r="AP955" i="1"/>
  <c r="AQ955" i="1" s="1"/>
  <c r="BM993" i="1"/>
  <c r="BL993" i="1"/>
  <c r="AP995" i="1"/>
  <c r="AQ995" i="1" s="1"/>
  <c r="AC1003" i="1"/>
  <c r="AB1003" i="1"/>
  <c r="BL493" i="1"/>
  <c r="AX494" i="1"/>
  <c r="BL498" i="1"/>
  <c r="AX499" i="1"/>
  <c r="BL511" i="1"/>
  <c r="BL532" i="1"/>
  <c r="AX533" i="1"/>
  <c r="AX541" i="1"/>
  <c r="BL543" i="1"/>
  <c r="AX550" i="1"/>
  <c r="BL568" i="1"/>
  <c r="AX589" i="1"/>
  <c r="BL596" i="1"/>
  <c r="BL609" i="1"/>
  <c r="AX610" i="1"/>
  <c r="BL617" i="1"/>
  <c r="BL620" i="1"/>
  <c r="AX621" i="1"/>
  <c r="AX624" i="1"/>
  <c r="BL630" i="1"/>
  <c r="AX653" i="1"/>
  <c r="BM669" i="1"/>
  <c r="BL669" i="1"/>
  <c r="AP686" i="1"/>
  <c r="AQ686" i="1" s="1"/>
  <c r="AY695" i="1"/>
  <c r="AX695" i="1"/>
  <c r="AC697" i="1"/>
  <c r="AB697" i="1"/>
  <c r="AY698" i="1"/>
  <c r="AX698" i="1"/>
  <c r="AP728" i="1"/>
  <c r="AQ728" i="1" s="1"/>
  <c r="AX730" i="1"/>
  <c r="AC737" i="1"/>
  <c r="AB737" i="1"/>
  <c r="AC739" i="1"/>
  <c r="AB739" i="1"/>
  <c r="AC791" i="1"/>
  <c r="AB791" i="1"/>
  <c r="BM796" i="1"/>
  <c r="BL796" i="1"/>
  <c r="AY804" i="1"/>
  <c r="AX804" i="1"/>
  <c r="AY808" i="1"/>
  <c r="AX808" i="1"/>
  <c r="BL813" i="1"/>
  <c r="BM813" i="1"/>
  <c r="AY819" i="1"/>
  <c r="AX819" i="1"/>
  <c r="AC849" i="1"/>
  <c r="AB849" i="1"/>
  <c r="BL490" i="1"/>
  <c r="AX512" i="1"/>
  <c r="AB524" i="1"/>
  <c r="BL527" i="1"/>
  <c r="AX528" i="1"/>
  <c r="AB529" i="1"/>
  <c r="BL537" i="1"/>
  <c r="BL546" i="1"/>
  <c r="AX547" i="1"/>
  <c r="AB548" i="1"/>
  <c r="BL554" i="1"/>
  <c r="AX555" i="1"/>
  <c r="AB556" i="1"/>
  <c r="AX569" i="1"/>
  <c r="BL574" i="1"/>
  <c r="BL593" i="1"/>
  <c r="AX594" i="1"/>
  <c r="AB595" i="1"/>
  <c r="AX601" i="1"/>
  <c r="AB602" i="1"/>
  <c r="AX618" i="1"/>
  <c r="AB619" i="1"/>
  <c r="AG626" i="1"/>
  <c r="AB632" i="1"/>
  <c r="BL639" i="1"/>
  <c r="BL642" i="1"/>
  <c r="BL657" i="1"/>
  <c r="AB665" i="1"/>
  <c r="BK668" i="1"/>
  <c r="BM671" i="1"/>
  <c r="BL671" i="1"/>
  <c r="AQ675" i="1"/>
  <c r="BM679" i="1"/>
  <c r="BL679" i="1"/>
  <c r="AC689" i="1"/>
  <c r="AB689" i="1"/>
  <c r="AP698" i="1"/>
  <c r="AQ698" i="1" s="1"/>
  <c r="AP703" i="1"/>
  <c r="AQ703" i="1" s="1"/>
  <c r="BK707" i="1"/>
  <c r="BK717" i="1"/>
  <c r="AP723" i="1"/>
  <c r="AQ723" i="1" s="1"/>
  <c r="BL727" i="1"/>
  <c r="BK753" i="1"/>
  <c r="AP762" i="1"/>
  <c r="AQ762" i="1" s="1"/>
  <c r="AP808" i="1"/>
  <c r="AQ808" i="1" s="1"/>
  <c r="AB839" i="1"/>
  <c r="AY849" i="1"/>
  <c r="AX849" i="1"/>
  <c r="AY871" i="1"/>
  <c r="AX871" i="1"/>
  <c r="AX881" i="1"/>
  <c r="AY881" i="1"/>
  <c r="AB481" i="1"/>
  <c r="AB487" i="1"/>
  <c r="AX491" i="1"/>
  <c r="AB492" i="1"/>
  <c r="AB536" i="1"/>
  <c r="AX538" i="1"/>
  <c r="AB539" i="1"/>
  <c r="AP540" i="1"/>
  <c r="AQ540" i="1" s="1"/>
  <c r="AX560" i="1"/>
  <c r="AB561" i="1"/>
  <c r="AP565" i="1"/>
  <c r="AQ565" i="1" s="1"/>
  <c r="AX575" i="1"/>
  <c r="AB592" i="1"/>
  <c r="AP596" i="1"/>
  <c r="AQ596" i="1" s="1"/>
  <c r="AX597" i="1"/>
  <c r="AB608" i="1"/>
  <c r="AB613" i="1"/>
  <c r="AX637" i="1"/>
  <c r="AX640" i="1"/>
  <c r="AX643" i="1"/>
  <c r="AX661" i="1"/>
  <c r="BM680" i="1"/>
  <c r="BL680" i="1"/>
  <c r="BM682" i="1"/>
  <c r="BL682" i="1"/>
  <c r="AY689" i="1"/>
  <c r="AX689" i="1"/>
  <c r="AQ740" i="1"/>
  <c r="BK777" i="1"/>
  <c r="BK802" i="1"/>
  <c r="AC836" i="1"/>
  <c r="AQ870" i="1"/>
  <c r="AB947" i="1"/>
  <c r="AC947" i="1"/>
  <c r="AP477" i="1"/>
  <c r="AQ477" i="1" s="1"/>
  <c r="AP482" i="1"/>
  <c r="AQ482" i="1" s="1"/>
  <c r="AB484" i="1"/>
  <c r="AP493" i="1"/>
  <c r="AQ493" i="1" s="1"/>
  <c r="AB502" i="1"/>
  <c r="AB510" i="1"/>
  <c r="AP511" i="1"/>
  <c r="AQ511" i="1" s="1"/>
  <c r="AB515" i="1"/>
  <c r="AB521" i="1"/>
  <c r="AB531" i="1"/>
  <c r="AP532" i="1"/>
  <c r="AQ532" i="1" s="1"/>
  <c r="AB544" i="1"/>
  <c r="AB545" i="1"/>
  <c r="AB553" i="1"/>
  <c r="AB558" i="1"/>
  <c r="AB564" i="1"/>
  <c r="AB577" i="1"/>
  <c r="AP609" i="1"/>
  <c r="AQ609" i="1" s="1"/>
  <c r="AB616" i="1"/>
  <c r="AP617" i="1"/>
  <c r="AQ617" i="1" s="1"/>
  <c r="AX658" i="1"/>
  <c r="AP689" i="1"/>
  <c r="AQ689" i="1" s="1"/>
  <c r="AC692" i="1"/>
  <c r="AB692" i="1"/>
  <c r="AP711" i="1"/>
  <c r="AQ711" i="1" s="1"/>
  <c r="AY748" i="1"/>
  <c r="AX748" i="1"/>
  <c r="AQ763" i="1"/>
  <c r="BM818" i="1"/>
  <c r="BL818" i="1"/>
  <c r="AX830" i="1"/>
  <c r="AY830" i="1"/>
  <c r="AP1015" i="1"/>
  <c r="AQ1015" i="1" s="1"/>
  <c r="AP522" i="1"/>
  <c r="AQ522" i="1" s="1"/>
  <c r="AP527" i="1"/>
  <c r="AQ527" i="1" s="1"/>
  <c r="AP554" i="1"/>
  <c r="AQ554" i="1" s="1"/>
  <c r="AP559" i="1"/>
  <c r="AQ559" i="1" s="1"/>
  <c r="AP562" i="1"/>
  <c r="AQ562" i="1" s="1"/>
  <c r="AB580" i="1"/>
  <c r="AB589" i="1"/>
  <c r="AB646" i="1"/>
  <c r="AB653" i="1"/>
  <c r="BM694" i="1"/>
  <c r="BL694" i="1"/>
  <c r="BM695" i="1"/>
  <c r="BL695" i="1"/>
  <c r="AY705" i="1"/>
  <c r="AX705" i="1"/>
  <c r="AY764" i="1"/>
  <c r="AX764" i="1"/>
  <c r="AC835" i="1"/>
  <c r="AB835" i="1"/>
  <c r="AP848" i="1"/>
  <c r="AQ848" i="1" s="1"/>
  <c r="AY918" i="1"/>
  <c r="AX918" i="1"/>
  <c r="AC1005" i="1"/>
  <c r="AB1005" i="1"/>
  <c r="AP516" i="1"/>
  <c r="AQ516" i="1" s="1"/>
  <c r="BL531" i="1"/>
  <c r="AX532" i="1"/>
  <c r="AB533" i="1"/>
  <c r="BL536" i="1"/>
  <c r="AP551" i="1"/>
  <c r="AQ551" i="1" s="1"/>
  <c r="BL561" i="1"/>
  <c r="AP573" i="1"/>
  <c r="AQ573" i="1" s="1"/>
  <c r="AP581" i="1"/>
  <c r="AQ581" i="1" s="1"/>
  <c r="AB583" i="1"/>
  <c r="AP584" i="1"/>
  <c r="AQ584" i="1" s="1"/>
  <c r="AP587" i="1"/>
  <c r="AQ587" i="1" s="1"/>
  <c r="AP590" i="1"/>
  <c r="AQ590" i="1" s="1"/>
  <c r="BL616" i="1"/>
  <c r="AB618" i="1"/>
  <c r="AP654" i="1"/>
  <c r="AQ654" i="1" s="1"/>
  <c r="AB664" i="1"/>
  <c r="AB667" i="1"/>
  <c r="AP668" i="1"/>
  <c r="AQ668" i="1" s="1"/>
  <c r="BK674" i="1"/>
  <c r="AP692" i="1"/>
  <c r="AQ692" i="1" s="1"/>
  <c r="AP702" i="1"/>
  <c r="AQ702" i="1" s="1"/>
  <c r="BL710" i="1"/>
  <c r="AO732" i="1"/>
  <c r="AP732" i="1" s="1"/>
  <c r="AQ732" i="1" s="1"/>
  <c r="AP738" i="1"/>
  <c r="AQ738" i="1" s="1"/>
  <c r="AX742" i="1"/>
  <c r="AY742" i="1"/>
  <c r="AC753" i="1"/>
  <c r="AB753" i="1"/>
  <c r="AP782" i="1"/>
  <c r="AQ782" i="1" s="1"/>
  <c r="AX835" i="1"/>
  <c r="AY835" i="1"/>
  <c r="AY853" i="1"/>
  <c r="AX853" i="1"/>
  <c r="AY913" i="1"/>
  <c r="AX913" i="1"/>
  <c r="AX917" i="1"/>
  <c r="AY917" i="1"/>
  <c r="AC672" i="1"/>
  <c r="AB672" i="1"/>
  <c r="BM697" i="1"/>
  <c r="BL697" i="1"/>
  <c r="AP742" i="1"/>
  <c r="AQ742" i="1" s="1"/>
  <c r="AY766" i="1"/>
  <c r="AX766" i="1"/>
  <c r="AC777" i="1"/>
  <c r="AB777" i="1"/>
  <c r="AP821" i="1"/>
  <c r="AQ821" i="1" s="1"/>
  <c r="BM828" i="1"/>
  <c r="BL828" i="1"/>
  <c r="AP853" i="1"/>
  <c r="AQ853" i="1" s="1"/>
  <c r="AY896" i="1"/>
  <c r="AX896" i="1"/>
  <c r="AP910" i="1"/>
  <c r="AQ910" i="1" s="1"/>
  <c r="AP913" i="1"/>
  <c r="AQ913" i="1" s="1"/>
  <c r="AG933" i="1"/>
  <c r="AC933" i="1"/>
  <c r="AB933" i="1"/>
  <c r="AP937" i="1"/>
  <c r="AQ937" i="1" s="1"/>
  <c r="BL670" i="1"/>
  <c r="AX671" i="1"/>
  <c r="AP673" i="1"/>
  <c r="AQ673" i="1" s="1"/>
  <c r="BL678" i="1"/>
  <c r="AX682" i="1"/>
  <c r="AP687" i="1"/>
  <c r="AQ687" i="1" s="1"/>
  <c r="AX688" i="1"/>
  <c r="BM738" i="1"/>
  <c r="BM752" i="1"/>
  <c r="BL754" i="1"/>
  <c r="AX755" i="1"/>
  <c r="BL759" i="1"/>
  <c r="BL771" i="1"/>
  <c r="BM771" i="1"/>
  <c r="BL777" i="1"/>
  <c r="AC782" i="1"/>
  <c r="AB782" i="1"/>
  <c r="BL790" i="1"/>
  <c r="AQ794" i="1"/>
  <c r="BL802" i="1"/>
  <c r="BM806" i="1"/>
  <c r="BL808" i="1"/>
  <c r="AP814" i="1"/>
  <c r="AQ814" i="1" s="1"/>
  <c r="BL817" i="1"/>
  <c r="AB821" i="1"/>
  <c r="AC821" i="1"/>
  <c r="AQ822" i="1"/>
  <c r="AY833" i="1"/>
  <c r="AX833" i="1"/>
  <c r="AY847" i="1"/>
  <c r="AX847" i="1"/>
  <c r="AP852" i="1"/>
  <c r="AQ852" i="1" s="1"/>
  <c r="AC885" i="1"/>
  <c r="AB885" i="1"/>
  <c r="BK886" i="1"/>
  <c r="AP895" i="1"/>
  <c r="AQ895" i="1" s="1"/>
  <c r="BM923" i="1"/>
  <c r="BL923" i="1"/>
  <c r="AC969" i="1"/>
  <c r="AB969" i="1"/>
  <c r="BM979" i="1"/>
  <c r="BL979" i="1"/>
  <c r="BM1022" i="1"/>
  <c r="BL1022" i="1"/>
  <c r="BK746" i="1"/>
  <c r="AX775" i="1"/>
  <c r="AQ805" i="1"/>
  <c r="AP811" i="1"/>
  <c r="AQ811" i="1" s="1"/>
  <c r="AP826" i="1"/>
  <c r="AQ826" i="1" s="1"/>
  <c r="BK839" i="1"/>
  <c r="BM868" i="1"/>
  <c r="BL868" i="1"/>
  <c r="AC871" i="1"/>
  <c r="AB871" i="1"/>
  <c r="BL878" i="1"/>
  <c r="AP880" i="1"/>
  <c r="AQ880" i="1" s="1"/>
  <c r="AY889" i="1"/>
  <c r="AX889" i="1"/>
  <c r="AC892" i="1"/>
  <c r="AB892" i="1"/>
  <c r="BM898" i="1"/>
  <c r="BL898" i="1"/>
  <c r="BM903" i="1"/>
  <c r="BL903" i="1"/>
  <c r="AC906" i="1"/>
  <c r="AB906" i="1"/>
  <c r="BM939" i="1"/>
  <c r="BL939" i="1"/>
  <c r="BL948" i="1"/>
  <c r="AI950" i="1"/>
  <c r="AG950" i="1"/>
  <c r="AB987" i="1"/>
  <c r="BL1007" i="1"/>
  <c r="BM1007" i="1"/>
  <c r="AB1019" i="1"/>
  <c r="BM1020" i="1"/>
  <c r="BL1020" i="1"/>
  <c r="AX788" i="1"/>
  <c r="AY788" i="1"/>
  <c r="AY798" i="1"/>
  <c r="AX798" i="1"/>
  <c r="AY827" i="1"/>
  <c r="AX827" i="1"/>
  <c r="AC863" i="1"/>
  <c r="AB863" i="1"/>
  <c r="BM888" i="1"/>
  <c r="BL888" i="1"/>
  <c r="AO890" i="1"/>
  <c r="AX907" i="1"/>
  <c r="AY907" i="1"/>
  <c r="BL910" i="1"/>
  <c r="BM910" i="1"/>
  <c r="AO977" i="1"/>
  <c r="AP977" i="1" s="1"/>
  <c r="AQ977" i="1" s="1"/>
  <c r="AP1005" i="1"/>
  <c r="AQ1005" i="1" s="1"/>
  <c r="AC1013" i="1"/>
  <c r="AB1013" i="1"/>
  <c r="AB1053" i="1"/>
  <c r="AC1053" i="1"/>
  <c r="BL1060" i="1"/>
  <c r="BM1060" i="1"/>
  <c r="AP1062" i="1"/>
  <c r="AQ1062" i="1" s="1"/>
  <c r="AB671" i="1"/>
  <c r="BL677" i="1"/>
  <c r="AX678" i="1"/>
  <c r="AB699" i="1"/>
  <c r="BL707" i="1"/>
  <c r="AB716" i="1"/>
  <c r="BL717" i="1"/>
  <c r="AX738" i="1"/>
  <c r="BL739" i="1"/>
  <c r="BL744" i="1"/>
  <c r="BL748" i="1"/>
  <c r="BL753" i="1"/>
  <c r="AX754" i="1"/>
  <c r="AB755" i="1"/>
  <c r="AB760" i="1"/>
  <c r="BL769" i="1"/>
  <c r="AX773" i="1"/>
  <c r="AP774" i="1"/>
  <c r="AQ774" i="1" s="1"/>
  <c r="AP783" i="1"/>
  <c r="AQ783" i="1" s="1"/>
  <c r="AB789" i="1"/>
  <c r="AC789" i="1"/>
  <c r="AX790" i="1"/>
  <c r="AP795" i="1"/>
  <c r="AQ795" i="1" s="1"/>
  <c r="AC799" i="1"/>
  <c r="AB799" i="1"/>
  <c r="AP801" i="1"/>
  <c r="AQ801" i="1" s="1"/>
  <c r="AB802" i="1"/>
  <c r="AC828" i="1"/>
  <c r="AB828" i="1"/>
  <c r="AP832" i="1"/>
  <c r="AQ832" i="1" s="1"/>
  <c r="AI836" i="1"/>
  <c r="AG836" i="1"/>
  <c r="AP837" i="1"/>
  <c r="AQ837" i="1" s="1"/>
  <c r="AP844" i="1"/>
  <c r="AQ844" i="1" s="1"/>
  <c r="BM856" i="1"/>
  <c r="AP866" i="1"/>
  <c r="AQ866" i="1" s="1"/>
  <c r="AX872" i="1"/>
  <c r="AY872" i="1"/>
  <c r="AB878" i="1"/>
  <c r="BM878" i="1"/>
  <c r="AP885" i="1"/>
  <c r="AQ885" i="1" s="1"/>
  <c r="AG890" i="1"/>
  <c r="AY893" i="1"/>
  <c r="AX893" i="1"/>
  <c r="BM895" i="1"/>
  <c r="BL895" i="1"/>
  <c r="AP901" i="1"/>
  <c r="AQ901" i="1" s="1"/>
  <c r="BL921" i="1"/>
  <c r="BM921" i="1"/>
  <c r="AY947" i="1"/>
  <c r="AX947" i="1"/>
  <c r="AX675" i="1"/>
  <c r="AB676" i="1"/>
  <c r="BL685" i="1"/>
  <c r="AX693" i="1"/>
  <c r="AB694" i="1"/>
  <c r="AX703" i="1"/>
  <c r="AP705" i="1"/>
  <c r="AQ705" i="1" s="1"/>
  <c r="AX718" i="1"/>
  <c r="AX740" i="1"/>
  <c r="AP758" i="1"/>
  <c r="AQ758" i="1" s="1"/>
  <c r="AC763" i="1"/>
  <c r="AP764" i="1"/>
  <c r="AQ764" i="1" s="1"/>
  <c r="AP768" i="1"/>
  <c r="AQ768" i="1" s="1"/>
  <c r="BK784" i="1"/>
  <c r="BL805" i="1"/>
  <c r="AP807" i="1"/>
  <c r="AQ807" i="1" s="1"/>
  <c r="BM829" i="1"/>
  <c r="BL829" i="1"/>
  <c r="AP830" i="1"/>
  <c r="AQ830" i="1" s="1"/>
  <c r="AP831" i="1"/>
  <c r="AQ831" i="1" s="1"/>
  <c r="AY850" i="1"/>
  <c r="AX850" i="1"/>
  <c r="AC851" i="1"/>
  <c r="AB851" i="1"/>
  <c r="AP861" i="1"/>
  <c r="AQ861" i="1" s="1"/>
  <c r="BM880" i="1"/>
  <c r="BL880" i="1"/>
  <c r="AP886" i="1"/>
  <c r="AQ886" i="1" s="1"/>
  <c r="AI890" i="1"/>
  <c r="AC894" i="1"/>
  <c r="AB894" i="1"/>
  <c r="AB898" i="1"/>
  <c r="AP917" i="1"/>
  <c r="AQ917" i="1" s="1"/>
  <c r="AP927" i="1"/>
  <c r="AQ927" i="1" s="1"/>
  <c r="AC939" i="1"/>
  <c r="AB939" i="1"/>
  <c r="AB945" i="1"/>
  <c r="AC945" i="1"/>
  <c r="AP947" i="1"/>
  <c r="AQ947" i="1" s="1"/>
  <c r="AB954" i="1"/>
  <c r="AC1000" i="1"/>
  <c r="AB1000" i="1"/>
  <c r="BM1010" i="1"/>
  <c r="BL1010" i="1"/>
  <c r="AP1046" i="1"/>
  <c r="AQ1046" i="1" s="1"/>
  <c r="AX708" i="1"/>
  <c r="AP766" i="1"/>
  <c r="AQ766" i="1" s="1"/>
  <c r="AX774" i="1"/>
  <c r="AP786" i="1"/>
  <c r="AQ786" i="1" s="1"/>
  <c r="AX795" i="1"/>
  <c r="AP799" i="1"/>
  <c r="AQ799" i="1" s="1"/>
  <c r="AP839" i="1"/>
  <c r="AQ839" i="1" s="1"/>
  <c r="AP845" i="1"/>
  <c r="AQ845" i="1" s="1"/>
  <c r="AP864" i="1"/>
  <c r="AQ864" i="1" s="1"/>
  <c r="BM912" i="1"/>
  <c r="BL912" i="1"/>
  <c r="BM917" i="1"/>
  <c r="BL917" i="1"/>
  <c r="AY930" i="1"/>
  <c r="AX930" i="1"/>
  <c r="AY945" i="1"/>
  <c r="AX945" i="1"/>
  <c r="AX952" i="1"/>
  <c r="AY952" i="1"/>
  <c r="AB953" i="1"/>
  <c r="AC953" i="1"/>
  <c r="BM972" i="1"/>
  <c r="BL972" i="1"/>
  <c r="AG1012" i="1"/>
  <c r="AO1012" i="1"/>
  <c r="BM1033" i="1"/>
  <c r="BL1033" i="1"/>
  <c r="AB690" i="1"/>
  <c r="AG691" i="1"/>
  <c r="AG700" i="1"/>
  <c r="AP701" i="1"/>
  <c r="AQ701" i="1" s="1"/>
  <c r="AB706" i="1"/>
  <c r="AP707" i="1"/>
  <c r="AQ707" i="1" s="1"/>
  <c r="AP710" i="1"/>
  <c r="AQ710" i="1" s="1"/>
  <c r="AP734" i="1"/>
  <c r="AQ734" i="1" s="1"/>
  <c r="AX735" i="1"/>
  <c r="AB736" i="1"/>
  <c r="AB747" i="1"/>
  <c r="AO748" i="1"/>
  <c r="AP748" i="1" s="1"/>
  <c r="AB749" i="1"/>
  <c r="AC765" i="1"/>
  <c r="AB767" i="1"/>
  <c r="AP771" i="1"/>
  <c r="AQ771" i="1" s="1"/>
  <c r="AB772" i="1"/>
  <c r="AP775" i="1"/>
  <c r="AQ775" i="1" s="1"/>
  <c r="BL781" i="1"/>
  <c r="AX783" i="1"/>
  <c r="BM797" i="1"/>
  <c r="BL797" i="1"/>
  <c r="BK805" i="1"/>
  <c r="AX807" i="1"/>
  <c r="BM810" i="1"/>
  <c r="AB813" i="1"/>
  <c r="AX815" i="1"/>
  <c r="AB820" i="1"/>
  <c r="BM825" i="1"/>
  <c r="AX855" i="1"/>
  <c r="AY855" i="1"/>
  <c r="AY863" i="1"/>
  <c r="BM871" i="1"/>
  <c r="BL871" i="1"/>
  <c r="BM892" i="1"/>
  <c r="BL892" i="1"/>
  <c r="AP898" i="1"/>
  <c r="AQ898" i="1" s="1"/>
  <c r="AY902" i="1"/>
  <c r="AB925" i="1"/>
  <c r="AY990" i="1"/>
  <c r="AX990" i="1"/>
  <c r="AB991" i="1"/>
  <c r="BM997" i="1"/>
  <c r="BL997" i="1"/>
  <c r="BM998" i="1"/>
  <c r="BL998" i="1"/>
  <c r="AC1002" i="1"/>
  <c r="AB1002" i="1"/>
  <c r="AI1012" i="1"/>
  <c r="AP1047" i="1"/>
  <c r="AQ1047" i="1" s="1"/>
  <c r="AP1051" i="1"/>
  <c r="AQ1051" i="1" s="1"/>
  <c r="AG1052" i="1"/>
  <c r="AO1052" i="1"/>
  <c r="AI1052" i="1"/>
  <c r="AB670" i="1"/>
  <c r="BL673" i="1"/>
  <c r="BL676" i="1"/>
  <c r="AB681" i="1"/>
  <c r="AP682" i="1"/>
  <c r="AQ682" i="1" s="1"/>
  <c r="AP688" i="1"/>
  <c r="AQ688" i="1" s="1"/>
  <c r="BL691" i="1"/>
  <c r="AB696" i="1"/>
  <c r="AP697" i="1"/>
  <c r="AQ697" i="1" s="1"/>
  <c r="BL719" i="1"/>
  <c r="AX720" i="1"/>
  <c r="AB721" i="1"/>
  <c r="AP722" i="1"/>
  <c r="AQ722" i="1" s="1"/>
  <c r="BL724" i="1"/>
  <c r="AX725" i="1"/>
  <c r="AP727" i="1"/>
  <c r="AQ727" i="1" s="1"/>
  <c r="BL729" i="1"/>
  <c r="BL730" i="1"/>
  <c r="AP739" i="1"/>
  <c r="AQ739" i="1" s="1"/>
  <c r="BL743" i="1"/>
  <c r="AX746" i="1"/>
  <c r="BL750" i="1"/>
  <c r="AX751" i="1"/>
  <c r="AP753" i="1"/>
  <c r="AQ753" i="1" s="1"/>
  <c r="BM757" i="1"/>
  <c r="BL765" i="1"/>
  <c r="AP769" i="1"/>
  <c r="AQ769" i="1" s="1"/>
  <c r="AP777" i="1"/>
  <c r="AQ777" i="1" s="1"/>
  <c r="BL778" i="1"/>
  <c r="AX780" i="1"/>
  <c r="AY780" i="1"/>
  <c r="AP789" i="1"/>
  <c r="AQ789" i="1" s="1"/>
  <c r="AP802" i="1"/>
  <c r="AQ802" i="1" s="1"/>
  <c r="BL803" i="1"/>
  <c r="AX823" i="1"/>
  <c r="AX824" i="1"/>
  <c r="AY824" i="1"/>
  <c r="AO828" i="1"/>
  <c r="AP840" i="1"/>
  <c r="AQ840" i="1" s="1"/>
  <c r="BM849" i="1"/>
  <c r="BL849" i="1"/>
  <c r="BL852" i="1"/>
  <c r="AC857" i="1"/>
  <c r="AB857" i="1"/>
  <c r="AY859" i="1"/>
  <c r="AX859" i="1"/>
  <c r="AC860" i="1"/>
  <c r="AB860" i="1"/>
  <c r="AP873" i="1"/>
  <c r="AQ873" i="1" s="1"/>
  <c r="AP878" i="1"/>
  <c r="AQ878" i="1" s="1"/>
  <c r="BL901" i="1"/>
  <c r="BL916" i="1"/>
  <c r="BM916" i="1"/>
  <c r="AY923" i="1"/>
  <c r="AX923" i="1"/>
  <c r="AX925" i="1"/>
  <c r="AY925" i="1"/>
  <c r="AP935" i="1"/>
  <c r="AQ935" i="1" s="1"/>
  <c r="AB951" i="1"/>
  <c r="AC959" i="1"/>
  <c r="AB959" i="1"/>
  <c r="AY980" i="1"/>
  <c r="AX980" i="1"/>
  <c r="BL988" i="1"/>
  <c r="BM988" i="1"/>
  <c r="AY1008" i="1"/>
  <c r="AX1008" i="1"/>
  <c r="AY1028" i="1"/>
  <c r="AX1028" i="1"/>
  <c r="AC1030" i="1"/>
  <c r="AB1030" i="1"/>
  <c r="BM1034" i="1"/>
  <c r="BL1034" i="1"/>
  <c r="AP1037" i="1"/>
  <c r="AQ1037" i="1" s="1"/>
  <c r="AP716" i="1"/>
  <c r="AQ716" i="1" s="1"/>
  <c r="AB718" i="1"/>
  <c r="AB732" i="1"/>
  <c r="BL733" i="1"/>
  <c r="AP737" i="1"/>
  <c r="AQ737" i="1" s="1"/>
  <c r="AX739" i="1"/>
  <c r="AX744" i="1"/>
  <c r="BL745" i="1"/>
  <c r="BL747" i="1"/>
  <c r="AG760" i="1"/>
  <c r="AX772" i="1"/>
  <c r="AY772" i="1"/>
  <c r="AB781" i="1"/>
  <c r="AC781" i="1"/>
  <c r="BL782" i="1"/>
  <c r="BL787" i="1"/>
  <c r="BM788" i="1"/>
  <c r="BL788" i="1"/>
  <c r="AP791" i="1"/>
  <c r="AQ791" i="1" s="1"/>
  <c r="AB794" i="1"/>
  <c r="AP800" i="1"/>
  <c r="AQ800" i="1" s="1"/>
  <c r="BM805" i="1"/>
  <c r="AX812" i="1"/>
  <c r="AC814" i="1"/>
  <c r="AB814" i="1"/>
  <c r="BL814" i="1"/>
  <c r="AB833" i="1"/>
  <c r="AB847" i="1"/>
  <c r="AB852" i="1"/>
  <c r="AY869" i="1"/>
  <c r="AX869" i="1"/>
  <c r="AX887" i="1"/>
  <c r="AY899" i="1"/>
  <c r="AX899" i="1"/>
  <c r="AY904" i="1"/>
  <c r="AX904" i="1"/>
  <c r="AC911" i="1"/>
  <c r="AB911" i="1"/>
  <c r="AP925" i="1"/>
  <c r="AQ925" i="1" s="1"/>
  <c r="AY940" i="1"/>
  <c r="AX940" i="1"/>
  <c r="AP949" i="1"/>
  <c r="AQ949" i="1" s="1"/>
  <c r="AP1008" i="1"/>
  <c r="AQ1008" i="1" s="1"/>
  <c r="AY1029" i="1"/>
  <c r="AX1029" i="1"/>
  <c r="AB738" i="1"/>
  <c r="AB773" i="1"/>
  <c r="AC773" i="1"/>
  <c r="BK774" i="1"/>
  <c r="AY781" i="1"/>
  <c r="AX781" i="1"/>
  <c r="BK801" i="1"/>
  <c r="AX809" i="1"/>
  <c r="AC811" i="1"/>
  <c r="AB811" i="1"/>
  <c r="AP818" i="1"/>
  <c r="AQ818" i="1" s="1"/>
  <c r="BM823" i="1"/>
  <c r="BL823" i="1"/>
  <c r="AC826" i="1"/>
  <c r="AB826" i="1"/>
  <c r="BM834" i="1"/>
  <c r="BL835" i="1"/>
  <c r="BL839" i="1"/>
  <c r="AY842" i="1"/>
  <c r="AX842" i="1"/>
  <c r="BM848" i="1"/>
  <c r="BM854" i="1"/>
  <c r="BL854" i="1"/>
  <c r="AG857" i="1"/>
  <c r="AP876" i="1"/>
  <c r="AQ876" i="1" s="1"/>
  <c r="AP879" i="1"/>
  <c r="AQ879" i="1" s="1"/>
  <c r="AY884" i="1"/>
  <c r="AX884" i="1"/>
  <c r="AC900" i="1"/>
  <c r="AB900" i="1"/>
  <c r="BK901" i="1"/>
  <c r="AX911" i="1"/>
  <c r="AY911" i="1"/>
  <c r="AY915" i="1"/>
  <c r="AX915" i="1"/>
  <c r="AO920" i="1"/>
  <c r="AP920" i="1" s="1"/>
  <c r="AQ920" i="1" s="1"/>
  <c r="AB921" i="1"/>
  <c r="AC921" i="1"/>
  <c r="BM930" i="1"/>
  <c r="BL930" i="1"/>
  <c r="BM941" i="1"/>
  <c r="BK943" i="1"/>
  <c r="BL944" i="1"/>
  <c r="BM944" i="1"/>
  <c r="AB806" i="1"/>
  <c r="AB818" i="1"/>
  <c r="AB822" i="1"/>
  <c r="AC825" i="1"/>
  <c r="AP829" i="1"/>
  <c r="AQ829" i="1" s="1"/>
  <c r="AB840" i="1"/>
  <c r="AP841" i="1"/>
  <c r="AQ841" i="1" s="1"/>
  <c r="AC856" i="1"/>
  <c r="AI857" i="1"/>
  <c r="AC862" i="1"/>
  <c r="AQ863" i="1"/>
  <c r="AC867" i="1"/>
  <c r="AP868" i="1"/>
  <c r="AQ868" i="1" s="1"/>
  <c r="AC873" i="1"/>
  <c r="AG874" i="1"/>
  <c r="AB879" i="1"/>
  <c r="AC882" i="1"/>
  <c r="AP883" i="1"/>
  <c r="AQ883" i="1" s="1"/>
  <c r="AB887" i="1"/>
  <c r="AB902" i="1"/>
  <c r="AP903" i="1"/>
  <c r="AQ903" i="1" s="1"/>
  <c r="AB907" i="1"/>
  <c r="AB930" i="1"/>
  <c r="AC937" i="1"/>
  <c r="AC942" i="1"/>
  <c r="BK945" i="1"/>
  <c r="AP948" i="1"/>
  <c r="AQ948" i="1" s="1"/>
  <c r="AB949" i="1"/>
  <c r="AB963" i="1"/>
  <c r="AQ973" i="1"/>
  <c r="AX976" i="1"/>
  <c r="AB977" i="1"/>
  <c r="AY983" i="1"/>
  <c r="AQ985" i="1"/>
  <c r="AP998" i="1"/>
  <c r="AQ998" i="1" s="1"/>
  <c r="BL1001" i="1"/>
  <c r="AC1044" i="1"/>
  <c r="AB1044" i="1"/>
  <c r="AX1088" i="1"/>
  <c r="AY1088" i="1"/>
  <c r="BL911" i="1"/>
  <c r="AC917" i="1"/>
  <c r="AB917" i="1"/>
  <c r="BM927" i="1"/>
  <c r="BK928" i="1"/>
  <c r="AX956" i="1"/>
  <c r="BK958" i="1"/>
  <c r="AX962" i="1"/>
  <c r="AY968" i="1"/>
  <c r="AX968" i="1"/>
  <c r="BL969" i="1"/>
  <c r="BL986" i="1"/>
  <c r="BK987" i="1"/>
  <c r="AX997" i="1"/>
  <c r="AP1017" i="1"/>
  <c r="AQ1017" i="1" s="1"/>
  <c r="BK1031" i="1"/>
  <c r="AP1034" i="1"/>
  <c r="AQ1034" i="1" s="1"/>
  <c r="AX1044" i="1"/>
  <c r="AY1044" i="1"/>
  <c r="AB1048" i="1"/>
  <c r="AC1048" i="1"/>
  <c r="AP1067" i="1"/>
  <c r="AQ1067" i="1" s="1"/>
  <c r="AC1068" i="1"/>
  <c r="AB1068" i="1"/>
  <c r="AX810" i="1"/>
  <c r="AX813" i="1"/>
  <c r="BL820" i="1"/>
  <c r="BL824" i="1"/>
  <c r="AX825" i="1"/>
  <c r="BL830" i="1"/>
  <c r="AX834" i="1"/>
  <c r="AX848" i="1"/>
  <c r="BL855" i="1"/>
  <c r="AX856" i="1"/>
  <c r="BL861" i="1"/>
  <c r="AX862" i="1"/>
  <c r="BL866" i="1"/>
  <c r="AX870" i="1"/>
  <c r="BL872" i="1"/>
  <c r="BL881" i="1"/>
  <c r="AX905" i="1"/>
  <c r="BK906" i="1"/>
  <c r="AQ908" i="1"/>
  <c r="BM911" i="1"/>
  <c r="BL914" i="1"/>
  <c r="AP918" i="1"/>
  <c r="AQ918" i="1" s="1"/>
  <c r="AX924" i="1"/>
  <c r="BM931" i="1"/>
  <c r="BL932" i="1"/>
  <c r="AC941" i="1"/>
  <c r="AB941" i="1"/>
  <c r="AX942" i="1"/>
  <c r="BK948" i="1"/>
  <c r="AI953" i="1"/>
  <c r="AG953" i="1"/>
  <c r="AC982" i="1"/>
  <c r="AB982" i="1"/>
  <c r="AQ987" i="1"/>
  <c r="AY994" i="1"/>
  <c r="AP1013" i="1"/>
  <c r="AQ1013" i="1" s="1"/>
  <c r="AC1016" i="1"/>
  <c r="AB1016" i="1"/>
  <c r="BL1016" i="1"/>
  <c r="AB1026" i="1"/>
  <c r="AC1026" i="1"/>
  <c r="AB1154" i="1"/>
  <c r="AC1154" i="1"/>
  <c r="BL924" i="1"/>
  <c r="AQ928" i="1"/>
  <c r="AY931" i="1"/>
  <c r="AX931" i="1"/>
  <c r="BK934" i="1"/>
  <c r="AY971" i="1"/>
  <c r="AC984" i="1"/>
  <c r="AB984" i="1"/>
  <c r="AB992" i="1"/>
  <c r="BM994" i="1"/>
  <c r="BL994" i="1"/>
  <c r="BM1024" i="1"/>
  <c r="BL1024" i="1"/>
  <c r="AP1031" i="1"/>
  <c r="AQ1031" i="1" s="1"/>
  <c r="AB1041" i="1"/>
  <c r="BM1057" i="1"/>
  <c r="BL1057" i="1"/>
  <c r="BM980" i="1"/>
  <c r="BL980" i="1"/>
  <c r="AQ982" i="1"/>
  <c r="AC983" i="1"/>
  <c r="AB983" i="1"/>
  <c r="AY984" i="1"/>
  <c r="AX984" i="1"/>
  <c r="AC993" i="1"/>
  <c r="AB993" i="1"/>
  <c r="BM995" i="1"/>
  <c r="BL995" i="1"/>
  <c r="AC997" i="1"/>
  <c r="AB997" i="1"/>
  <c r="AC1010" i="1"/>
  <c r="AB1010" i="1"/>
  <c r="AP1016" i="1"/>
  <c r="AQ1016" i="1" s="1"/>
  <c r="AC932" i="1"/>
  <c r="AB932" i="1"/>
  <c r="BM950" i="1"/>
  <c r="BL950" i="1"/>
  <c r="AP976" i="1"/>
  <c r="AQ976" i="1" s="1"/>
  <c r="AY993" i="1"/>
  <c r="AX993" i="1"/>
  <c r="AP1026" i="1"/>
  <c r="AQ1026" i="1" s="1"/>
  <c r="AY1032" i="1"/>
  <c r="AX1032" i="1"/>
  <c r="AP1040" i="1"/>
  <c r="AQ1040" i="1" s="1"/>
  <c r="AC1043" i="1"/>
  <c r="AB1043" i="1"/>
  <c r="AP1050" i="1"/>
  <c r="AQ1050" i="1" s="1"/>
  <c r="AB834" i="1"/>
  <c r="AB837" i="1"/>
  <c r="AB843" i="1"/>
  <c r="AB848" i="1"/>
  <c r="AB870" i="1"/>
  <c r="AB890" i="1"/>
  <c r="AB897" i="1"/>
  <c r="AB905" i="1"/>
  <c r="AI921" i="1"/>
  <c r="AG921" i="1"/>
  <c r="AB924" i="1"/>
  <c r="AO931" i="1"/>
  <c r="AP931" i="1" s="1"/>
  <c r="AQ931" i="1" s="1"/>
  <c r="AO941" i="1"/>
  <c r="AP946" i="1"/>
  <c r="AQ946" i="1" s="1"/>
  <c r="AQ954" i="1"/>
  <c r="AP960" i="1"/>
  <c r="AQ960" i="1" s="1"/>
  <c r="AC974" i="1"/>
  <c r="AB974" i="1"/>
  <c r="AP983" i="1"/>
  <c r="AQ983" i="1" s="1"/>
  <c r="AC985" i="1"/>
  <c r="AB985" i="1"/>
  <c r="AP988" i="1"/>
  <c r="AQ988" i="1" s="1"/>
  <c r="AP1010" i="1"/>
  <c r="AQ1010" i="1" s="1"/>
  <c r="AQ1027" i="1"/>
  <c r="BM1049" i="1"/>
  <c r="BL1049" i="1"/>
  <c r="AY1054" i="1"/>
  <c r="AX1054" i="1"/>
  <c r="BM1063" i="1"/>
  <c r="BL1063" i="1"/>
  <c r="AY1107" i="1"/>
  <c r="AX1107" i="1"/>
  <c r="AQ909" i="1"/>
  <c r="AY916" i="1"/>
  <c r="AX916" i="1"/>
  <c r="AQ919" i="1"/>
  <c r="AQ923" i="1"/>
  <c r="BM953" i="1"/>
  <c r="BL953" i="1"/>
  <c r="AC957" i="1"/>
  <c r="AB957" i="1"/>
  <c r="AQ979" i="1"/>
  <c r="BM991" i="1"/>
  <c r="BL991" i="1"/>
  <c r="AC994" i="1"/>
  <c r="AB994" i="1"/>
  <c r="AP1006" i="1"/>
  <c r="AQ1006" i="1" s="1"/>
  <c r="AB1014" i="1"/>
  <c r="AG1014" i="1"/>
  <c r="AX1023" i="1"/>
  <c r="AY1023" i="1"/>
  <c r="AP1061" i="1"/>
  <c r="AQ1061" i="1" s="1"/>
  <c r="AC1093" i="1"/>
  <c r="AB1093" i="1"/>
  <c r="AY1097" i="1"/>
  <c r="AX1097" i="1"/>
  <c r="AP1098" i="1"/>
  <c r="AQ1098" i="1" s="1"/>
  <c r="AP964" i="1"/>
  <c r="AQ964" i="1" s="1"/>
  <c r="AQ978" i="1"/>
  <c r="BM1005" i="1"/>
  <c r="BL1005" i="1"/>
  <c r="AP1014" i="1"/>
  <c r="AQ1014" i="1" s="1"/>
  <c r="AC1027" i="1"/>
  <c r="AB1027" i="1"/>
  <c r="AQ1029" i="1"/>
  <c r="AC1039" i="1"/>
  <c r="AB1039" i="1"/>
  <c r="AC1059" i="1"/>
  <c r="AB1059" i="1"/>
  <c r="AQ1074" i="1"/>
  <c r="BM1094" i="1"/>
  <c r="BL1094" i="1"/>
  <c r="BL977" i="1"/>
  <c r="AY1011" i="1"/>
  <c r="AX1011" i="1"/>
  <c r="BK1022" i="1"/>
  <c r="AQ1030" i="1"/>
  <c r="AP1038" i="1"/>
  <c r="AQ1038" i="1" s="1"/>
  <c r="AY1050" i="1"/>
  <c r="AX1050" i="1"/>
  <c r="BM1051" i="1"/>
  <c r="BL1051" i="1"/>
  <c r="AQ1085" i="1"/>
  <c r="AC1092" i="1"/>
  <c r="AB1092" i="1"/>
  <c r="AY1098" i="1"/>
  <c r="AX1098" i="1"/>
  <c r="AP1117" i="1"/>
  <c r="AQ1117" i="1" s="1"/>
  <c r="BL909" i="1"/>
  <c r="AX910" i="1"/>
  <c r="BL933" i="1"/>
  <c r="BL936" i="1"/>
  <c r="BL942" i="1"/>
  <c r="BL957" i="1"/>
  <c r="BL961" i="1"/>
  <c r="AQ967" i="1"/>
  <c r="BL967" i="1"/>
  <c r="BM977" i="1"/>
  <c r="AY981" i="1"/>
  <c r="AX981" i="1"/>
  <c r="BL990" i="1"/>
  <c r="AX991" i="1"/>
  <c r="BL992" i="1"/>
  <c r="BL1000" i="1"/>
  <c r="BL1028" i="1"/>
  <c r="BM1032" i="1"/>
  <c r="BL1038" i="1"/>
  <c r="BM1068" i="1"/>
  <c r="BL1068" i="1"/>
  <c r="AP1070" i="1"/>
  <c r="AQ1070" i="1" s="1"/>
  <c r="AX1081" i="1"/>
  <c r="AY1081" i="1"/>
  <c r="AP1105" i="1"/>
  <c r="AQ1105" i="1" s="1"/>
  <c r="AX1227" i="1"/>
  <c r="AY1227" i="1"/>
  <c r="AY959" i="1"/>
  <c r="AX959" i="1"/>
  <c r="BM966" i="1"/>
  <c r="BL966" i="1"/>
  <c r="AP975" i="1"/>
  <c r="AQ975" i="1" s="1"/>
  <c r="AB988" i="1"/>
  <c r="AY992" i="1"/>
  <c r="AX992" i="1"/>
  <c r="AY995" i="1"/>
  <c r="AX1024" i="1"/>
  <c r="BL1030" i="1"/>
  <c r="BM1030" i="1"/>
  <c r="AI1041" i="1"/>
  <c r="AG1041" i="1"/>
  <c r="AX1048" i="1"/>
  <c r="AY1048" i="1"/>
  <c r="AC1056" i="1"/>
  <c r="AB1056" i="1"/>
  <c r="AC1072" i="1"/>
  <c r="AB1072" i="1"/>
  <c r="AP1081" i="1"/>
  <c r="AQ1081" i="1" s="1"/>
  <c r="BK1084" i="1"/>
  <c r="AB1086" i="1"/>
  <c r="AP1165" i="1"/>
  <c r="AQ1165" i="1" s="1"/>
  <c r="BM958" i="1"/>
  <c r="BL958" i="1"/>
  <c r="AC960" i="1"/>
  <c r="AB960" i="1"/>
  <c r="AY973" i="1"/>
  <c r="AX973" i="1"/>
  <c r="AY998" i="1"/>
  <c r="AX998" i="1"/>
  <c r="AP1000" i="1"/>
  <c r="AQ1000" i="1" s="1"/>
  <c r="AP1028" i="1"/>
  <c r="AQ1028" i="1" s="1"/>
  <c r="AX1036" i="1"/>
  <c r="AY1036" i="1"/>
  <c r="BM1040" i="1"/>
  <c r="BL1040" i="1"/>
  <c r="BM1041" i="1"/>
  <c r="BL1041" i="1"/>
  <c r="BM1045" i="1"/>
  <c r="BL1045" i="1"/>
  <c r="AY1051" i="1"/>
  <c r="AX1051" i="1"/>
  <c r="AP1126" i="1"/>
  <c r="AQ1126" i="1" s="1"/>
  <c r="AQ1130" i="1"/>
  <c r="AX1141" i="1"/>
  <c r="AY1141" i="1"/>
  <c r="AX1149" i="1"/>
  <c r="AY1149" i="1"/>
  <c r="AY1083" i="1"/>
  <c r="AX1083" i="1"/>
  <c r="AP1095" i="1"/>
  <c r="AQ1095" i="1" s="1"/>
  <c r="AC1113" i="1"/>
  <c r="AB1113" i="1"/>
  <c r="AB1074" i="1"/>
  <c r="BL1077" i="1"/>
  <c r="BM1077" i="1"/>
  <c r="AQ1100" i="1"/>
  <c r="AC1102" i="1"/>
  <c r="AB1102" i="1"/>
  <c r="AC1103" i="1"/>
  <c r="AB1103" i="1"/>
  <c r="BL1104" i="1"/>
  <c r="BM1104" i="1"/>
  <c r="AP1135" i="1"/>
  <c r="AQ1135" i="1" s="1"/>
  <c r="AY1045" i="1"/>
  <c r="AC1055" i="1"/>
  <c r="AB1055" i="1"/>
  <c r="BM1064" i="1"/>
  <c r="BL1064" i="1"/>
  <c r="AP1069" i="1"/>
  <c r="AQ1069" i="1" s="1"/>
  <c r="AY1074" i="1"/>
  <c r="AX1074" i="1"/>
  <c r="AC1075" i="1"/>
  <c r="AB1075" i="1"/>
  <c r="AI1078" i="1"/>
  <c r="AG1078" i="1"/>
  <c r="AC1132" i="1"/>
  <c r="AB1132" i="1"/>
  <c r="AP1162" i="1"/>
  <c r="AQ1162" i="1" s="1"/>
  <c r="BM1196" i="1"/>
  <c r="BL1196" i="1"/>
  <c r="AY1076" i="1"/>
  <c r="AX1076" i="1"/>
  <c r="AP1101" i="1"/>
  <c r="AQ1101" i="1" s="1"/>
  <c r="AI1116" i="1"/>
  <c r="AO1116" i="1"/>
  <c r="AG1116" i="1"/>
  <c r="AY1122" i="1"/>
  <c r="AX1122" i="1"/>
  <c r="BL1257" i="1"/>
  <c r="BM1257" i="1"/>
  <c r="BK1030" i="1"/>
  <c r="AY1034" i="1"/>
  <c r="AX1034" i="1"/>
  <c r="BL1035" i="1"/>
  <c r="AC1045" i="1"/>
  <c r="AB1045" i="1"/>
  <c r="BK1051" i="1"/>
  <c r="AC1065" i="1"/>
  <c r="AB1065" i="1"/>
  <c r="AC1080" i="1"/>
  <c r="AB1080" i="1"/>
  <c r="AC1084" i="1"/>
  <c r="AB1109" i="1"/>
  <c r="AC1110" i="1"/>
  <c r="AB1110" i="1"/>
  <c r="AP1122" i="1"/>
  <c r="AQ1122" i="1" s="1"/>
  <c r="AP1123" i="1"/>
  <c r="AQ1123" i="1" s="1"/>
  <c r="AC1144" i="1"/>
  <c r="AB1144" i="1"/>
  <c r="AC1210" i="1"/>
  <c r="AB1210" i="1"/>
  <c r="BL1226" i="1"/>
  <c r="BM1226" i="1"/>
  <c r="AC1057" i="1"/>
  <c r="AB1057" i="1"/>
  <c r="AP1071" i="1"/>
  <c r="AQ1071" i="1" s="1"/>
  <c r="AP1094" i="1"/>
  <c r="AQ1094" i="1" s="1"/>
  <c r="AC1118" i="1"/>
  <c r="AB1118" i="1"/>
  <c r="AY1143" i="1"/>
  <c r="AX1143" i="1"/>
  <c r="AP1155" i="1"/>
  <c r="AQ1155" i="1" s="1"/>
  <c r="AX1157" i="1"/>
  <c r="AY1157" i="1"/>
  <c r="AC1170" i="1"/>
  <c r="BL1221" i="1"/>
  <c r="BM1221" i="1"/>
  <c r="AB1225" i="1"/>
  <c r="AC1225" i="1"/>
  <c r="AP1020" i="1"/>
  <c r="AQ1020" i="1" s="1"/>
  <c r="AC1037" i="1"/>
  <c r="AP1044" i="1"/>
  <c r="AQ1044" i="1" s="1"/>
  <c r="AP1048" i="1"/>
  <c r="AQ1048" i="1" s="1"/>
  <c r="AP1053" i="1"/>
  <c r="AQ1053" i="1" s="1"/>
  <c r="AP1056" i="1"/>
  <c r="AQ1056" i="1" s="1"/>
  <c r="AC1061" i="1"/>
  <c r="AP1076" i="1"/>
  <c r="AQ1076" i="1" s="1"/>
  <c r="BM1115" i="1"/>
  <c r="BL1115" i="1"/>
  <c r="BM1116" i="1"/>
  <c r="BL1116" i="1"/>
  <c r="AY1138" i="1"/>
  <c r="AX1138" i="1"/>
  <c r="AP1143" i="1"/>
  <c r="AQ1143" i="1" s="1"/>
  <c r="AP1144" i="1"/>
  <c r="AQ1144" i="1" s="1"/>
  <c r="AP1168" i="1"/>
  <c r="AQ1168" i="1" s="1"/>
  <c r="AC1012" i="1"/>
  <c r="AC1035" i="1"/>
  <c r="AB1035" i="1"/>
  <c r="AQ1039" i="1"/>
  <c r="AC1040" i="1"/>
  <c r="AB1040" i="1"/>
  <c r="BK1043" i="1"/>
  <c r="BM1073" i="1"/>
  <c r="BM1075" i="1"/>
  <c r="BL1075" i="1"/>
  <c r="BK1092" i="1"/>
  <c r="BM1101" i="1"/>
  <c r="BL1101" i="1"/>
  <c r="AB1105" i="1"/>
  <c r="AP1170" i="1"/>
  <c r="AQ1170" i="1" s="1"/>
  <c r="BM1166" i="1"/>
  <c r="BL1166" i="1"/>
  <c r="AY1152" i="1"/>
  <c r="AX1152" i="1"/>
  <c r="BM1155" i="1"/>
  <c r="BL1155" i="1"/>
  <c r="AP1158" i="1"/>
  <c r="AQ1158" i="1" s="1"/>
  <c r="AY1176" i="1"/>
  <c r="AX1176" i="1"/>
  <c r="AP1182" i="1"/>
  <c r="AQ1182" i="1" s="1"/>
  <c r="BL1059" i="1"/>
  <c r="BK1109" i="1"/>
  <c r="BK1110" i="1"/>
  <c r="BM1119" i="1"/>
  <c r="BL1119" i="1"/>
  <c r="BK1123" i="1"/>
  <c r="AP1125" i="1"/>
  <c r="AQ1125" i="1" s="1"/>
  <c r="BM1127" i="1"/>
  <c r="BL1127" i="1"/>
  <c r="BM1145" i="1"/>
  <c r="BL1145" i="1"/>
  <c r="AP1152" i="1"/>
  <c r="AQ1152" i="1" s="1"/>
  <c r="BK1164" i="1"/>
  <c r="AY1102" i="1"/>
  <c r="AX1102" i="1"/>
  <c r="AY1114" i="1"/>
  <c r="AX1114" i="1"/>
  <c r="AP1118" i="1"/>
  <c r="AQ1118" i="1" s="1"/>
  <c r="AC1133" i="1"/>
  <c r="AB1133" i="1"/>
  <c r="AP1139" i="1"/>
  <c r="AQ1139" i="1" s="1"/>
  <c r="AC1156" i="1"/>
  <c r="AB1156" i="1"/>
  <c r="AC1164" i="1"/>
  <c r="AB1164" i="1"/>
  <c r="BM1208" i="1"/>
  <c r="BL1208" i="1"/>
  <c r="AC1052" i="1"/>
  <c r="AB1052" i="1"/>
  <c r="AP1063" i="1"/>
  <c r="AQ1063" i="1" s="1"/>
  <c r="AC1064" i="1"/>
  <c r="AP1066" i="1"/>
  <c r="AQ1066" i="1" s="1"/>
  <c r="AX1072" i="1"/>
  <c r="AB1073" i="1"/>
  <c r="AP1079" i="1"/>
  <c r="AQ1079" i="1" s="1"/>
  <c r="BL1080" i="1"/>
  <c r="AB1085" i="1"/>
  <c r="AB1091" i="1"/>
  <c r="AP1102" i="1"/>
  <c r="AQ1102" i="1" s="1"/>
  <c r="AQ1103" i="1"/>
  <c r="AP1109" i="1"/>
  <c r="AQ1109" i="1" s="1"/>
  <c r="AB1111" i="1"/>
  <c r="AP1114" i="1"/>
  <c r="AQ1114" i="1" s="1"/>
  <c r="AQ1115" i="1"/>
  <c r="AC1116" i="1"/>
  <c r="AB1116" i="1"/>
  <c r="AC1120" i="1"/>
  <c r="AB1120" i="1"/>
  <c r="AB1124" i="1"/>
  <c r="AX1131" i="1"/>
  <c r="AY1131" i="1"/>
  <c r="AB1151" i="1"/>
  <c r="BL1168" i="1"/>
  <c r="BM1168" i="1"/>
  <c r="BL1177" i="1"/>
  <c r="BM1177" i="1"/>
  <c r="AP1204" i="1"/>
  <c r="AQ1204" i="1" s="1"/>
  <c r="AY1064" i="1"/>
  <c r="AX1064" i="1"/>
  <c r="BK1067" i="1"/>
  <c r="BL1076" i="1"/>
  <c r="AP1082" i="1"/>
  <c r="AQ1082" i="1" s="1"/>
  <c r="AP1093" i="1"/>
  <c r="AQ1093" i="1" s="1"/>
  <c r="AB1117" i="1"/>
  <c r="AC1117" i="1"/>
  <c r="AB1146" i="1"/>
  <c r="AP1161" i="1"/>
  <c r="AQ1161" i="1" s="1"/>
  <c r="AP1164" i="1"/>
  <c r="AQ1164" i="1" s="1"/>
  <c r="BK1201" i="1"/>
  <c r="BL1056" i="1"/>
  <c r="AC1058" i="1"/>
  <c r="AB1058" i="1"/>
  <c r="AP1097" i="1"/>
  <c r="AQ1097" i="1" s="1"/>
  <c r="AY1119" i="1"/>
  <c r="AX1119" i="1"/>
  <c r="BM1134" i="1"/>
  <c r="BL1134" i="1"/>
  <c r="AP1141" i="1"/>
  <c r="AQ1141" i="1" s="1"/>
  <c r="AX1147" i="1"/>
  <c r="AY1147" i="1"/>
  <c r="AP1157" i="1"/>
  <c r="AQ1157" i="1" s="1"/>
  <c r="AY1158" i="1"/>
  <c r="AX1158" i="1"/>
  <c r="AY1163" i="1"/>
  <c r="BM1109" i="1"/>
  <c r="BL1109" i="1"/>
  <c r="AP1119" i="1"/>
  <c r="AQ1119" i="1" s="1"/>
  <c r="BM1131" i="1"/>
  <c r="BL1131" i="1"/>
  <c r="AP1147" i="1"/>
  <c r="AQ1147" i="1" s="1"/>
  <c r="BM1124" i="1"/>
  <c r="BL1124" i="1"/>
  <c r="AC1129" i="1"/>
  <c r="AB1129" i="1"/>
  <c r="AC1140" i="1"/>
  <c r="AB1143" i="1"/>
  <c r="AY1146" i="1"/>
  <c r="AX1146" i="1"/>
  <c r="BM1178" i="1"/>
  <c r="BL1178" i="1"/>
  <c r="AO1213" i="1"/>
  <c r="AP1213" i="1" s="1"/>
  <c r="AP1214" i="1"/>
  <c r="AQ1214" i="1" s="1"/>
  <c r="AY1215" i="1"/>
  <c r="AX1215" i="1"/>
  <c r="AP1235" i="1"/>
  <c r="AQ1235" i="1" s="1"/>
  <c r="AB1137" i="1"/>
  <c r="AB1157" i="1"/>
  <c r="AY1162" i="1"/>
  <c r="AX1162" i="1"/>
  <c r="AB1166" i="1"/>
  <c r="AP1175" i="1"/>
  <c r="AQ1175" i="1" s="1"/>
  <c r="AP1180" i="1"/>
  <c r="AQ1180" i="1" s="1"/>
  <c r="AQ1083" i="1"/>
  <c r="BL1086" i="1"/>
  <c r="AX1110" i="1"/>
  <c r="BL1111" i="1"/>
  <c r="AX1112" i="1"/>
  <c r="BL1135" i="1"/>
  <c r="AP1138" i="1"/>
  <c r="AQ1138" i="1" s="1"/>
  <c r="BM1140" i="1"/>
  <c r="BL1140" i="1"/>
  <c r="BM1157" i="1"/>
  <c r="BL1157" i="1"/>
  <c r="AG1159" i="1"/>
  <c r="AC1159" i="1"/>
  <c r="AB1159" i="1"/>
  <c r="AY1167" i="1"/>
  <c r="AX1167" i="1"/>
  <c r="AP1173" i="1"/>
  <c r="AQ1173" i="1" s="1"/>
  <c r="AY1183" i="1"/>
  <c r="AX1183" i="1"/>
  <c r="AG1203" i="1"/>
  <c r="AI1203" i="1"/>
  <c r="AC1272" i="1"/>
  <c r="AB1272" i="1"/>
  <c r="AB1115" i="1"/>
  <c r="AP1121" i="1"/>
  <c r="AQ1121" i="1" s="1"/>
  <c r="AP1148" i="1"/>
  <c r="AQ1148" i="1" s="1"/>
  <c r="BM1153" i="1"/>
  <c r="BL1153" i="1"/>
  <c r="AO1177" i="1"/>
  <c r="AX1218" i="1"/>
  <c r="AY1218" i="1"/>
  <c r="AP1255" i="1"/>
  <c r="AQ1255" i="1" s="1"/>
  <c r="BK1082" i="1"/>
  <c r="AQ1111" i="1"/>
  <c r="AQ1127" i="1"/>
  <c r="AI1132" i="1"/>
  <c r="AG1132" i="1"/>
  <c r="BK1143" i="1"/>
  <c r="AQ1154" i="1"/>
  <c r="AC1165" i="1"/>
  <c r="AB1165" i="1"/>
  <c r="AP1183" i="1"/>
  <c r="AQ1183" i="1" s="1"/>
  <c r="BL1182" i="1"/>
  <c r="BM1182" i="1"/>
  <c r="AY1238" i="1"/>
  <c r="AX1238" i="1"/>
  <c r="BM1242" i="1"/>
  <c r="BL1242" i="1"/>
  <c r="AY1128" i="1"/>
  <c r="AX1128" i="1"/>
  <c r="AY1136" i="1"/>
  <c r="AX1136" i="1"/>
  <c r="AB1180" i="1"/>
  <c r="AC1180" i="1"/>
  <c r="AY1214" i="1"/>
  <c r="AX1214" i="1"/>
  <c r="AX1144" i="1"/>
  <c r="AP1167" i="1"/>
  <c r="AQ1167" i="1" s="1"/>
  <c r="AX1186" i="1"/>
  <c r="AY1186" i="1"/>
  <c r="AO1194" i="1"/>
  <c r="AP1194" i="1" s="1"/>
  <c r="BM1203" i="1"/>
  <c r="AP1205" i="1"/>
  <c r="AQ1205" i="1" s="1"/>
  <c r="AQ1212" i="1"/>
  <c r="BL1231" i="1"/>
  <c r="BM1231" i="1"/>
  <c r="AX1232" i="1"/>
  <c r="BL1239" i="1"/>
  <c r="BM1239" i="1"/>
  <c r="AB1245" i="1"/>
  <c r="AC1246" i="1"/>
  <c r="AC1224" i="1"/>
  <c r="AB1224" i="1"/>
  <c r="AQ1237" i="1"/>
  <c r="AY1258" i="1"/>
  <c r="AX1258" i="1"/>
  <c r="AC1131" i="1"/>
  <c r="AB1131" i="1"/>
  <c r="BM1132" i="1"/>
  <c r="BL1132" i="1"/>
  <c r="BL1137" i="1"/>
  <c r="BM1142" i="1"/>
  <c r="BL1142" i="1"/>
  <c r="AP1146" i="1"/>
  <c r="AQ1146" i="1" s="1"/>
  <c r="AC1147" i="1"/>
  <c r="AB1147" i="1"/>
  <c r="AQ1149" i="1"/>
  <c r="AC1169" i="1"/>
  <c r="BM1169" i="1"/>
  <c r="BL1169" i="1"/>
  <c r="AP1250" i="1"/>
  <c r="AQ1250" i="1" s="1"/>
  <c r="AI1265" i="1"/>
  <c r="AG1265" i="1"/>
  <c r="AP1266" i="1"/>
  <c r="AQ1266" i="1" s="1"/>
  <c r="BK1178" i="1"/>
  <c r="AY1180" i="1"/>
  <c r="AX1180" i="1"/>
  <c r="AQ1192" i="1"/>
  <c r="AQ1210" i="1"/>
  <c r="AC1216" i="1"/>
  <c r="AB1216" i="1"/>
  <c r="AB1196" i="1"/>
  <c r="AC1196" i="1"/>
  <c r="AP1200" i="1"/>
  <c r="AQ1200" i="1" s="1"/>
  <c r="AY1211" i="1"/>
  <c r="AX1211" i="1"/>
  <c r="BM1263" i="1"/>
  <c r="BL1263" i="1"/>
  <c r="AB1178" i="1"/>
  <c r="AP1211" i="1"/>
  <c r="AQ1211" i="1" s="1"/>
  <c r="AC1230" i="1"/>
  <c r="AB1230" i="1"/>
  <c r="AP1232" i="1"/>
  <c r="AQ1232" i="1" s="1"/>
  <c r="BM1260" i="1"/>
  <c r="BL1260" i="1"/>
  <c r="AY1155" i="1"/>
  <c r="AX1155" i="1"/>
  <c r="AQ1160" i="1"/>
  <c r="AY1164" i="1"/>
  <c r="AX1164" i="1"/>
  <c r="BK1172" i="1"/>
  <c r="AP1190" i="1"/>
  <c r="AQ1190" i="1" s="1"/>
  <c r="AY1193" i="1"/>
  <c r="AX1193" i="1"/>
  <c r="AP1196" i="1"/>
  <c r="AQ1196" i="1" s="1"/>
  <c r="BM1198" i="1"/>
  <c r="BL1198" i="1"/>
  <c r="AP1199" i="1"/>
  <c r="AQ1199" i="1" s="1"/>
  <c r="AP1207" i="1"/>
  <c r="AQ1207" i="1" s="1"/>
  <c r="AY1240" i="1"/>
  <c r="AX1240" i="1"/>
  <c r="AY1233" i="1"/>
  <c r="AX1233" i="1"/>
  <c r="BM1247" i="1"/>
  <c r="BL1247" i="1"/>
  <c r="AP1231" i="1"/>
  <c r="AQ1231" i="1" s="1"/>
  <c r="AY1236" i="1"/>
  <c r="AP1248" i="1"/>
  <c r="AQ1248" i="1" s="1"/>
  <c r="AQ1251" i="1"/>
  <c r="AC1255" i="1"/>
  <c r="AB1255" i="1"/>
  <c r="BM1256" i="1"/>
  <c r="BL1256" i="1"/>
  <c r="AP1263" i="1"/>
  <c r="AQ1263" i="1" s="1"/>
  <c r="AP1264" i="1"/>
  <c r="AQ1264" i="1" s="1"/>
  <c r="BM1252" i="1"/>
  <c r="BL1252" i="1"/>
  <c r="AQ1254" i="1"/>
  <c r="AP1269" i="1"/>
  <c r="AQ1269" i="1" s="1"/>
  <c r="AP1274" i="1"/>
  <c r="AQ1274" i="1" s="1"/>
  <c r="BM1237" i="1"/>
  <c r="BL1237" i="1"/>
  <c r="AY1256" i="1"/>
  <c r="AX1256" i="1"/>
  <c r="BM1265" i="1"/>
  <c r="BL1265" i="1"/>
  <c r="AG1178" i="1"/>
  <c r="AB1194" i="1"/>
  <c r="AY1199" i="1"/>
  <c r="AX1199" i="1"/>
  <c r="AC1200" i="1"/>
  <c r="AB1200" i="1"/>
  <c r="AP1222" i="1"/>
  <c r="AQ1222" i="1" s="1"/>
  <c r="AP1238" i="1"/>
  <c r="AQ1238" i="1" s="1"/>
  <c r="AY1241" i="1"/>
  <c r="AX1241" i="1"/>
  <c r="AC1242" i="1"/>
  <c r="AB1242" i="1"/>
  <c r="AX1255" i="1"/>
  <c r="AY1259" i="1"/>
  <c r="AX1259" i="1"/>
  <c r="AC1260" i="1"/>
  <c r="AB1260" i="1"/>
  <c r="AI1178" i="1"/>
  <c r="BL1189" i="1"/>
  <c r="BM1192" i="1"/>
  <c r="BL1192" i="1"/>
  <c r="AP1208" i="1"/>
  <c r="AQ1208" i="1" s="1"/>
  <c r="AP1219" i="1"/>
  <c r="AQ1219" i="1" s="1"/>
  <c r="BM1255" i="1"/>
  <c r="BL1255" i="1"/>
  <c r="AC1261" i="1"/>
  <c r="AB1261" i="1"/>
  <c r="AC1262" i="1"/>
  <c r="AB1262" i="1"/>
  <c r="AC1268" i="1"/>
  <c r="AB1268" i="1"/>
  <c r="AP1272" i="1"/>
  <c r="AQ1272" i="1" s="1"/>
  <c r="BM1240" i="1"/>
  <c r="BL1240" i="1"/>
  <c r="BM1258" i="1"/>
  <c r="BL1258" i="1"/>
  <c r="AY1261" i="1"/>
  <c r="AX1261" i="1"/>
  <c r="AY1267" i="1"/>
  <c r="AX1267" i="1"/>
  <c r="AP1273" i="1"/>
  <c r="AQ1273" i="1" s="1"/>
  <c r="AP1124" i="1"/>
  <c r="AQ1124" i="1" s="1"/>
  <c r="AP1140" i="1"/>
  <c r="AQ1140" i="1" s="1"/>
  <c r="AY1194" i="1"/>
  <c r="AX1219" i="1"/>
  <c r="AP1223" i="1"/>
  <c r="AQ1223" i="1" s="1"/>
  <c r="AP1229" i="1"/>
  <c r="AQ1229" i="1" s="1"/>
  <c r="AB1231" i="1"/>
  <c r="AP1241" i="1"/>
  <c r="AQ1241" i="1" s="1"/>
  <c r="AB1248" i="1"/>
  <c r="AB1250" i="1"/>
  <c r="AC1251" i="1"/>
  <c r="AB1251" i="1"/>
  <c r="BL1254" i="1"/>
  <c r="AP1261" i="1"/>
  <c r="AQ1261" i="1" s="1"/>
  <c r="AC1263" i="1"/>
  <c r="AB1263" i="1"/>
  <c r="AC1264" i="1"/>
  <c r="AB1264" i="1"/>
  <c r="AB1269" i="1"/>
  <c r="AQ1179" i="1"/>
  <c r="AP1184" i="1"/>
  <c r="AQ1184" i="1" s="1"/>
  <c r="AP1191" i="1"/>
  <c r="AQ1191" i="1" s="1"/>
  <c r="AP1201" i="1"/>
  <c r="AQ1201" i="1" s="1"/>
  <c r="AX1208" i="1"/>
  <c r="BL1213" i="1"/>
  <c r="AP1220" i="1"/>
  <c r="AQ1220" i="1" s="1"/>
  <c r="AQ1234" i="1"/>
  <c r="AP1242" i="1"/>
  <c r="AQ1242" i="1" s="1"/>
  <c r="AP1243" i="1"/>
  <c r="AQ1243" i="1" s="1"/>
  <c r="BK1245" i="1"/>
  <c r="AY1247" i="1"/>
  <c r="AX1247" i="1"/>
  <c r="AY1253" i="1"/>
  <c r="AX1253" i="1"/>
  <c r="AC1254" i="1"/>
  <c r="AB1254" i="1"/>
  <c r="AP1260" i="1"/>
  <c r="AQ1260" i="1" s="1"/>
  <c r="BL1272" i="1"/>
  <c r="AP1270" i="1"/>
  <c r="AQ1270" i="1" s="1"/>
  <c r="AY1169" i="1" l="1"/>
  <c r="AX455" i="1"/>
  <c r="AY181" i="1"/>
  <c r="AX1129" i="1"/>
  <c r="AX339" i="1"/>
  <c r="AQ1104" i="1"/>
  <c r="AY1228" i="1"/>
  <c r="AP599" i="1"/>
  <c r="AQ599" i="1" s="1"/>
  <c r="AX475" i="1"/>
  <c r="AY1001" i="1"/>
  <c r="AQ1169" i="1"/>
  <c r="AY333" i="1"/>
  <c r="AP941" i="1"/>
  <c r="AQ941" i="1" s="1"/>
  <c r="AX635" i="1"/>
  <c r="AP498" i="1"/>
  <c r="AQ498" i="1" s="1"/>
  <c r="AX1104" i="1"/>
  <c r="AX831" i="1"/>
  <c r="AP577" i="1"/>
  <c r="AQ577" i="1" s="1"/>
  <c r="AX356" i="1"/>
  <c r="AX82" i="1"/>
  <c r="AY1084" i="1"/>
  <c r="AP828" i="1"/>
  <c r="AQ828" i="1" s="1"/>
  <c r="AP834" i="1"/>
  <c r="AQ834" i="1" s="1"/>
  <c r="AB1276" i="1"/>
  <c r="F13" i="1" s="1"/>
  <c r="AY115" i="1"/>
  <c r="AY603" i="1"/>
  <c r="AX603" i="1"/>
  <c r="AQ748" i="1"/>
  <c r="AY572" i="1"/>
  <c r="AX572" i="1"/>
  <c r="AQ42" i="1"/>
  <c r="AX1250" i="1"/>
  <c r="AY1250" i="1"/>
  <c r="AQ1194" i="1"/>
  <c r="AQ1213" i="1"/>
  <c r="AY337" i="1"/>
  <c r="AQ700" i="1"/>
  <c r="AY791" i="1"/>
  <c r="AX791" i="1"/>
  <c r="AQ945" i="1"/>
  <c r="AY1205" i="1"/>
  <c r="AX1205" i="1"/>
  <c r="AC1276" i="1"/>
  <c r="F11" i="1" s="1"/>
  <c r="AQ667" i="1"/>
  <c r="BM1276" i="1"/>
  <c r="AA14" i="1" s="1"/>
  <c r="AY1229" i="1"/>
  <c r="AX1229" i="1"/>
  <c r="AX259" i="1"/>
  <c r="AQ93" i="1"/>
  <c r="AY1078" i="1"/>
  <c r="AX1078" i="1"/>
  <c r="AP953" i="1"/>
  <c r="AQ953" i="1" s="1"/>
  <c r="AP1012" i="1"/>
  <c r="AQ1012" i="1" s="1"/>
  <c r="AY691" i="1"/>
  <c r="AX691" i="1"/>
  <c r="AY890" i="1"/>
  <c r="AX890" i="1"/>
  <c r="AY836" i="1"/>
  <c r="AX836" i="1"/>
  <c r="AX49" i="1"/>
  <c r="AY49" i="1"/>
  <c r="AP1078" i="1"/>
  <c r="AQ1078" i="1" s="1"/>
  <c r="AP836" i="1"/>
  <c r="AQ836" i="1" s="1"/>
  <c r="AY950" i="1"/>
  <c r="AX950" i="1"/>
  <c r="AP1203" i="1"/>
  <c r="AQ1203" i="1" s="1"/>
  <c r="AY1116" i="1"/>
  <c r="AX1116" i="1"/>
  <c r="AY874" i="1"/>
  <c r="AX874" i="1"/>
  <c r="AP950" i="1"/>
  <c r="AQ950" i="1" s="1"/>
  <c r="AX933" i="1"/>
  <c r="AY933" i="1"/>
  <c r="AX626" i="1"/>
  <c r="AY626" i="1"/>
  <c r="AY1265" i="1"/>
  <c r="AX1265" i="1"/>
  <c r="AY921" i="1"/>
  <c r="AX921" i="1"/>
  <c r="AY857" i="1"/>
  <c r="AX857" i="1"/>
  <c r="AY279" i="1"/>
  <c r="AX279" i="1"/>
  <c r="AQ264" i="1"/>
  <c r="AP1177" i="1"/>
  <c r="AQ1177" i="1" s="1"/>
  <c r="AP1178" i="1"/>
  <c r="AQ1178" i="1" s="1"/>
  <c r="AP1265" i="1"/>
  <c r="AQ1265" i="1" s="1"/>
  <c r="AY1014" i="1"/>
  <c r="AX1014" i="1"/>
  <c r="AP921" i="1"/>
  <c r="AQ921" i="1" s="1"/>
  <c r="AP857" i="1"/>
  <c r="AQ857" i="1" s="1"/>
  <c r="AY760" i="1"/>
  <c r="AX760" i="1"/>
  <c r="AX423" i="1"/>
  <c r="AY423" i="1"/>
  <c r="AP49" i="1"/>
  <c r="AQ49" i="1" s="1"/>
  <c r="AP40" i="1"/>
  <c r="AY1041" i="1"/>
  <c r="AX1041" i="1"/>
  <c r="AP1052" i="1"/>
  <c r="AQ1052" i="1" s="1"/>
  <c r="AP423" i="1"/>
  <c r="AQ423" i="1" s="1"/>
  <c r="BK1276" i="1"/>
  <c r="AP1041" i="1"/>
  <c r="AQ1041" i="1" s="1"/>
  <c r="AY1012" i="1"/>
  <c r="AX1012" i="1"/>
  <c r="AY543" i="1"/>
  <c r="AX543" i="1"/>
  <c r="AX87" i="1"/>
  <c r="AY87" i="1"/>
  <c r="AQ127" i="1"/>
  <c r="AX1178" i="1"/>
  <c r="AY1178" i="1"/>
  <c r="AX1159" i="1"/>
  <c r="AY1159" i="1"/>
  <c r="AY1052" i="1"/>
  <c r="AX1052" i="1"/>
  <c r="AP543" i="1"/>
  <c r="AQ543" i="1" s="1"/>
  <c r="AX599" i="1"/>
  <c r="AY599" i="1"/>
  <c r="AO1276" i="1"/>
  <c r="BL1276" i="1"/>
  <c r="AY426" i="1"/>
  <c r="AX426" i="1"/>
  <c r="AY381" i="1"/>
  <c r="AX381" i="1"/>
  <c r="AP206" i="1"/>
  <c r="AQ206" i="1" s="1"/>
  <c r="AG1276" i="1"/>
  <c r="AX1276" i="1" s="1"/>
  <c r="AX366" i="1"/>
  <c r="AY366" i="1"/>
  <c r="AY434" i="1"/>
  <c r="AX434" i="1"/>
  <c r="AP381" i="1"/>
  <c r="AQ381" i="1" s="1"/>
  <c r="AY206" i="1"/>
  <c r="AX206" i="1"/>
  <c r="AY290" i="1"/>
  <c r="AX290" i="1"/>
  <c r="AY1132" i="1"/>
  <c r="AX1132" i="1"/>
  <c r="AY1203" i="1"/>
  <c r="AX1203" i="1"/>
  <c r="AP1132" i="1"/>
  <c r="AQ1132" i="1" s="1"/>
  <c r="AP1116" i="1"/>
  <c r="AQ1116" i="1" s="1"/>
  <c r="AY953" i="1"/>
  <c r="AX953" i="1"/>
  <c r="AY700" i="1"/>
  <c r="AX700" i="1"/>
  <c r="AP890" i="1"/>
  <c r="AQ890" i="1" s="1"/>
  <c r="AY1276" i="1" l="1"/>
  <c r="F15" i="1"/>
  <c r="H16" i="1" s="1"/>
  <c r="AC1277" i="1"/>
  <c r="AA25" i="1"/>
  <c r="AP1276" i="1"/>
  <c r="AQ40" i="1"/>
  <c r="AQ1276" i="1" s="1"/>
  <c r="G16" i="1" l="1"/>
</calcChain>
</file>

<file path=xl/sharedStrings.xml><?xml version="1.0" encoding="utf-8"?>
<sst xmlns="http://schemas.openxmlformats.org/spreadsheetml/2006/main" count="12377" uniqueCount="1216">
  <si>
    <t xml:space="preserve"> </t>
  </si>
  <si>
    <t>Summary</t>
  </si>
  <si>
    <t xml:space="preserve">  </t>
  </si>
  <si>
    <t>Note:No Rakes on sep-01,Sep-02,Oct-17,Oct-18,Oct-20,Oct-23,Oct-31,Nov-1,2,Dec-31</t>
  </si>
  <si>
    <t>PARTY NAME</t>
  </si>
  <si>
    <t>Cargo</t>
  </si>
  <si>
    <t>NO.OF RAKES</t>
  </si>
  <si>
    <t>Adani</t>
  </si>
  <si>
    <t>S.Coal</t>
  </si>
  <si>
    <t>Rakes</t>
  </si>
  <si>
    <t>Wagons</t>
  </si>
  <si>
    <t>Jsw Minerals</t>
  </si>
  <si>
    <t>Coking Coal</t>
  </si>
  <si>
    <t>Jayaswal Neco</t>
  </si>
  <si>
    <t>Kesoram</t>
  </si>
  <si>
    <t>Pet Coke</t>
  </si>
  <si>
    <t>MBG Commodities</t>
  </si>
  <si>
    <t>T.Coal</t>
  </si>
  <si>
    <t>Manual</t>
  </si>
  <si>
    <t>Sarat -APGENCO</t>
  </si>
  <si>
    <t>RTL</t>
  </si>
  <si>
    <t>Mahendra Strips</t>
  </si>
  <si>
    <t>Bengal Energy</t>
  </si>
  <si>
    <t>Total</t>
  </si>
  <si>
    <t>Terminal Loaded Qty</t>
  </si>
  <si>
    <t>Rawmet</t>
  </si>
  <si>
    <t>NCE Loaded Qty</t>
  </si>
  <si>
    <t>India Coke and Power</t>
  </si>
  <si>
    <t>Demmurage as Per Railway</t>
  </si>
  <si>
    <t>Ramco Cements</t>
  </si>
  <si>
    <t>Demmurage As Per Actual Timing</t>
  </si>
  <si>
    <t>Jindal Steel &amp; Power Ltd</t>
  </si>
  <si>
    <t>Ultratech Cements</t>
  </si>
  <si>
    <t>BOXN</t>
  </si>
  <si>
    <t>BOXNHL</t>
  </si>
  <si>
    <t>Sree Siri Sai Traders</t>
  </si>
  <si>
    <t>BOST</t>
  </si>
  <si>
    <t>Smartgen Infra</t>
  </si>
  <si>
    <t>India Cement</t>
  </si>
  <si>
    <t>Trafigura India</t>
  </si>
  <si>
    <t>NTPC</t>
  </si>
  <si>
    <t>Visma Global</t>
  </si>
  <si>
    <t>RIMWB - Man+Mech-Rimwb Qty</t>
  </si>
  <si>
    <t>FY 2024-25</t>
  </si>
  <si>
    <t>TOTAL</t>
  </si>
  <si>
    <t>STATEMENT OF COAL RAKES LOADED FROM KAKINADA FOR THE FY 2024-25</t>
  </si>
  <si>
    <t>Indent</t>
  </si>
  <si>
    <t>As Per Railway Record</t>
  </si>
  <si>
    <t>NO OF WAGONS</t>
  </si>
  <si>
    <t>RIMWB QTY</t>
  </si>
  <si>
    <t>PCC
 Weight</t>
  </si>
  <si>
    <t>Chargeable Weight</t>
  </si>
  <si>
    <t>Difference (Under Load)</t>
  </si>
  <si>
    <t>Rate Per Ton
145 A</t>
  </si>
  <si>
    <t>Base Freight</t>
  </si>
  <si>
    <t>POL-1</t>
  </si>
  <si>
    <t>POL-2</t>
  </si>
  <si>
    <t>PCLA
(Penal Charges for Load Adjustment)</t>
  </si>
  <si>
    <t>FAUC
(Freight Adjusted for Unload Charges)</t>
  </si>
  <si>
    <t>LPC
(Late Payment Charges</t>
  </si>
  <si>
    <t>DTC
(Destination Terminal Chages)</t>
  </si>
  <si>
    <t>GST @ 5%</t>
  </si>
  <si>
    <t>Railway Freight</t>
  </si>
  <si>
    <t>Rebate
RTT</t>
  </si>
  <si>
    <t>WRF Paid by US adjusted agsinst Railway Freight to be recovered from Party</t>
  </si>
  <si>
    <t>Type of Rake</t>
  </si>
  <si>
    <t>Load Adjusted Wagons</t>
  </si>
  <si>
    <t>Load Adjusted Qty</t>
  </si>
  <si>
    <t>DC Adjusted Hrs</t>
  </si>
  <si>
    <t>% of Under load Qty</t>
  </si>
  <si>
    <t>Dead Freight
(UL Qty * Basic Freight)</t>
  </si>
  <si>
    <t>RR Attachment</t>
  </si>
  <si>
    <t>As Per Our Actual Timings (CCR &amp; Coal Siding)</t>
  </si>
  <si>
    <t>Remarks</t>
  </si>
  <si>
    <t>FY
Sl No.</t>
  </si>
  <si>
    <t>Month Sl no.</t>
  </si>
  <si>
    <t>RAKE
NO.</t>
  </si>
  <si>
    <t>Type of Run</t>
  </si>
  <si>
    <t>Vessel Name</t>
  </si>
  <si>
    <t>PARTY
Name</t>
  </si>
  <si>
    <t>'CARGO</t>
  </si>
  <si>
    <t>DESTINATION</t>
  </si>
  <si>
    <t>No</t>
  </si>
  <si>
    <t>Date</t>
  </si>
  <si>
    <t>SIDING</t>
  </si>
  <si>
    <t>R R
NO.</t>
  </si>
  <si>
    <t>RR Date</t>
  </si>
  <si>
    <t>RAKE HAUL IN DATE &amp; TIME</t>
  </si>
  <si>
    <t>RLY PLACEM.
DATE &amp; TIME</t>
  </si>
  <si>
    <t>CLEARANCE DATE &amp; TIME</t>
  </si>
  <si>
    <t>RLY COMPLET.
DATE &amp; TIME</t>
  </si>
  <si>
    <t>ACT. PLACEMENT.
DATE &amp; TIME</t>
  </si>
  <si>
    <t>ACT. COMPL.
DATE &amp; TIME</t>
  </si>
  <si>
    <t>ENGINE ATTACH. DATE &amp; TIME</t>
  </si>
  <si>
    <t>RAKE HAUL OUT DATE &amp; TIME</t>
  </si>
  <si>
    <t>Loading Hrs</t>
  </si>
  <si>
    <t>Allow time</t>
  </si>
  <si>
    <t>DC Hrs</t>
  </si>
  <si>
    <t>Manual Loading</t>
  </si>
  <si>
    <t>RTL
Loading</t>
  </si>
  <si>
    <t>Mechanical</t>
  </si>
  <si>
    <t>PLACEMENT</t>
  </si>
  <si>
    <t>CLEARENCE</t>
  </si>
  <si>
    <t>LOADING COMMENCED</t>
  </si>
  <si>
    <t>LOADING COMPLETED</t>
  </si>
  <si>
    <t>Total Hrs</t>
  </si>
  <si>
    <t>Down/ Delays</t>
  </si>
  <si>
    <t>Idle Time</t>
  </si>
  <si>
    <t>Diffence Pl/ Clea</t>
  </si>
  <si>
    <t>Diffence Clea/Ld Com</t>
  </si>
  <si>
    <t>Cmmc to Compl</t>
  </si>
  <si>
    <t>CL to Comple Total Time</t>
  </si>
  <si>
    <t>Nt Loading Hrs</t>
  </si>
  <si>
    <t>Import</t>
  </si>
  <si>
    <t>Oshima Trader</t>
  </si>
  <si>
    <t>MLSW</t>
  </si>
  <si>
    <t>D-001</t>
  </si>
  <si>
    <t>SP-7</t>
  </si>
  <si>
    <t>Nill</t>
  </si>
  <si>
    <t>Star Zulu</t>
  </si>
  <si>
    <t>UCLG</t>
  </si>
  <si>
    <t>D-003</t>
  </si>
  <si>
    <t>SP-6</t>
  </si>
  <si>
    <t>Knight Ship</t>
  </si>
  <si>
    <t>MRCJ</t>
  </si>
  <si>
    <t>D-005</t>
  </si>
  <si>
    <t>Huayang Rose</t>
  </si>
  <si>
    <t>UCLH</t>
  </si>
  <si>
    <t>D-009</t>
  </si>
  <si>
    <t>D-010</t>
  </si>
  <si>
    <t>NS Xiamen -Jayaswal</t>
  </si>
  <si>
    <t>MSIM</t>
  </si>
  <si>
    <t>D-013</t>
  </si>
  <si>
    <t>D-015</t>
  </si>
  <si>
    <t>D-017</t>
  </si>
  <si>
    <t>UTCR</t>
  </si>
  <si>
    <t>D-019</t>
  </si>
  <si>
    <t>Anglo Red -Alpine</t>
  </si>
  <si>
    <t>D-022</t>
  </si>
  <si>
    <t>D-024</t>
  </si>
  <si>
    <t>NS Xiamen -Evonith</t>
  </si>
  <si>
    <t>D-028</t>
  </si>
  <si>
    <t>D-031</t>
  </si>
  <si>
    <t>D-033</t>
  </si>
  <si>
    <t>D-036</t>
  </si>
  <si>
    <t>D-037</t>
  </si>
  <si>
    <t>UTCG</t>
  </si>
  <si>
    <t>D-038</t>
  </si>
  <si>
    <t>Coastal</t>
  </si>
  <si>
    <t>Vishva Malhar</t>
  </si>
  <si>
    <t>TPAK</t>
  </si>
  <si>
    <t>C-001</t>
  </si>
  <si>
    <t>Kona Trader</t>
  </si>
  <si>
    <t>BTPK</t>
  </si>
  <si>
    <t>C-002</t>
  </si>
  <si>
    <t>from 01.EC 47047 to 12.WR 03874 - total 12 wagns</t>
  </si>
  <si>
    <t>Yannis B</t>
  </si>
  <si>
    <t>from 13.CR 10772 to 58.ER 18494 - total 46 wagns</t>
  </si>
  <si>
    <t>C-003</t>
  </si>
  <si>
    <t>D-044</t>
  </si>
  <si>
    <t>D-045</t>
  </si>
  <si>
    <t>D-047</t>
  </si>
  <si>
    <t>C-004</t>
  </si>
  <si>
    <t>C-005</t>
  </si>
  <si>
    <t>C-006</t>
  </si>
  <si>
    <t>YTPY</t>
  </si>
  <si>
    <t>C-007</t>
  </si>
  <si>
    <t>D-051</t>
  </si>
  <si>
    <t>C-009</t>
  </si>
  <si>
    <t>D-058</t>
  </si>
  <si>
    <t>C-010</t>
  </si>
  <si>
    <t>C-008</t>
  </si>
  <si>
    <t>C-011</t>
  </si>
  <si>
    <t>Anglo Red -LV Hard</t>
  </si>
  <si>
    <t>D-064</t>
  </si>
  <si>
    <t>C-012</t>
  </si>
  <si>
    <t>D-067</t>
  </si>
  <si>
    <t>C-013</t>
  </si>
  <si>
    <t>C-015</t>
  </si>
  <si>
    <t>D-068</t>
  </si>
  <si>
    <t>C-017</t>
  </si>
  <si>
    <t>C-016</t>
  </si>
  <si>
    <t>UTCM</t>
  </si>
  <si>
    <t>D-073</t>
  </si>
  <si>
    <t>C-018</t>
  </si>
  <si>
    <t>C-019</t>
  </si>
  <si>
    <t>C-020</t>
  </si>
  <si>
    <t>C-014</t>
  </si>
  <si>
    <t>Lale s</t>
  </si>
  <si>
    <t>C-079</t>
  </si>
  <si>
    <t>C-022</t>
  </si>
  <si>
    <t>C-023</t>
  </si>
  <si>
    <t>D-083</t>
  </si>
  <si>
    <t>C-025</t>
  </si>
  <si>
    <t>01.ER 12926 - total 1 wagn</t>
  </si>
  <si>
    <t>Vishva Malhar-Voy(2)</t>
  </si>
  <si>
    <t>from 02.NC.82200 to 55.SW 60017 - total 54 wagns</t>
  </si>
  <si>
    <t>D-085</t>
  </si>
  <si>
    <t>from 01.WC 32154 to 33.WC 33363 - total 33 wagns</t>
  </si>
  <si>
    <t>from 01.CR 16442 to 25.ER 14489 - total 25 wagns</t>
  </si>
  <si>
    <t>C-026</t>
  </si>
  <si>
    <t>UCLM</t>
  </si>
  <si>
    <t>D-090</t>
  </si>
  <si>
    <t>from 01.EC 18954 to 42.SEC 97866 - total 42 wagns</t>
  </si>
  <si>
    <t>Dolce Vita</t>
  </si>
  <si>
    <t>from 43.ECO 50546 to 59.SEC 88594 - total 17 wagns</t>
  </si>
  <si>
    <t>C-027</t>
  </si>
  <si>
    <t>C-021</t>
  </si>
  <si>
    <t>C-028</t>
  </si>
  <si>
    <t>D-092</t>
  </si>
  <si>
    <t>D-093</t>
  </si>
  <si>
    <t>C-029</t>
  </si>
  <si>
    <t>C-030</t>
  </si>
  <si>
    <t>UCLT</t>
  </si>
  <si>
    <t>D-097</t>
  </si>
  <si>
    <t>C-031</t>
  </si>
  <si>
    <t>C-024</t>
  </si>
  <si>
    <t>C-032</t>
  </si>
  <si>
    <t>D-114</t>
  </si>
  <si>
    <t>C-034</t>
  </si>
  <si>
    <t>D-098</t>
  </si>
  <si>
    <t>C-033</t>
  </si>
  <si>
    <t>D-106</t>
  </si>
  <si>
    <t>C-035</t>
  </si>
  <si>
    <t>C-038</t>
  </si>
  <si>
    <t>C-036</t>
  </si>
  <si>
    <t>D-123</t>
  </si>
  <si>
    <t>C-039</t>
  </si>
  <si>
    <t>D-126</t>
  </si>
  <si>
    <t>C-040</t>
  </si>
  <si>
    <t>D-129</t>
  </si>
  <si>
    <t>C-043</t>
  </si>
  <si>
    <t>D-128</t>
  </si>
  <si>
    <t>C-044</t>
  </si>
  <si>
    <t>from 01.ECO 65572 to 14.SW 38187 - total 14 wagns</t>
  </si>
  <si>
    <t>Vishva Malhar-Voy(3)</t>
  </si>
  <si>
    <t>from 15.NC 61198 to 58.SEC 60474 - total 44 wagns</t>
  </si>
  <si>
    <t>C-041</t>
  </si>
  <si>
    <t>C-045</t>
  </si>
  <si>
    <t>D-130</t>
  </si>
  <si>
    <t>C-046</t>
  </si>
  <si>
    <t>D-134</t>
  </si>
  <si>
    <t>C-047</t>
  </si>
  <si>
    <t>D-133</t>
  </si>
  <si>
    <t>C-048</t>
  </si>
  <si>
    <t>D-138</t>
  </si>
  <si>
    <t>C-049</t>
  </si>
  <si>
    <t>D-139</t>
  </si>
  <si>
    <t>C-050</t>
  </si>
  <si>
    <t>D-141</t>
  </si>
  <si>
    <t>C-051</t>
  </si>
  <si>
    <t>C-042</t>
  </si>
  <si>
    <t>C-052</t>
  </si>
  <si>
    <t>C-053</t>
  </si>
  <si>
    <t>C-054</t>
  </si>
  <si>
    <t>D-147</t>
  </si>
  <si>
    <t>C-055</t>
  </si>
  <si>
    <t>D-150</t>
  </si>
  <si>
    <t>D-151</t>
  </si>
  <si>
    <t>C-056</t>
  </si>
  <si>
    <t>C-057</t>
  </si>
  <si>
    <t>D-149</t>
  </si>
  <si>
    <t>D-155</t>
  </si>
  <si>
    <t>D-153</t>
  </si>
  <si>
    <t>D-157</t>
  </si>
  <si>
    <t>C-058</t>
  </si>
  <si>
    <t>C-059</t>
  </si>
  <si>
    <t>D-159</t>
  </si>
  <si>
    <t>BOXNHL25T</t>
  </si>
  <si>
    <t>D-160</t>
  </si>
  <si>
    <t>C-060</t>
  </si>
  <si>
    <t>MGCH</t>
  </si>
  <si>
    <t>D-164</t>
  </si>
  <si>
    <t>UTCB</t>
  </si>
  <si>
    <t>D-165</t>
  </si>
  <si>
    <t>D-166</t>
  </si>
  <si>
    <t>D-167</t>
  </si>
  <si>
    <t>C-061</t>
  </si>
  <si>
    <t>D-148</t>
  </si>
  <si>
    <t>D-169</t>
  </si>
  <si>
    <t>D-172</t>
  </si>
  <si>
    <t>D-170</t>
  </si>
  <si>
    <t>Navios Meridian</t>
  </si>
  <si>
    <t>C-062</t>
  </si>
  <si>
    <t>C-063</t>
  </si>
  <si>
    <t>C-064</t>
  </si>
  <si>
    <t>UCLS</t>
  </si>
  <si>
    <t>D-176</t>
  </si>
  <si>
    <t>C-065</t>
  </si>
  <si>
    <t>D-178</t>
  </si>
  <si>
    <t>D-184</t>
  </si>
  <si>
    <t>C-066</t>
  </si>
  <si>
    <t>C-067</t>
  </si>
  <si>
    <t>D-185</t>
  </si>
  <si>
    <t>D-177</t>
  </si>
  <si>
    <t>from 01.SE 60497 to 27.CR 01386 - total 27 wagns</t>
  </si>
  <si>
    <t>Nicholas Stanford</t>
  </si>
  <si>
    <t>from 28.NC 30217 to 59.ER 60486 - total 32 wagns</t>
  </si>
  <si>
    <t>D-186</t>
  </si>
  <si>
    <t>Bulk Ara</t>
  </si>
  <si>
    <t>PSCR</t>
  </si>
  <si>
    <t>D-174</t>
  </si>
  <si>
    <t>C-068</t>
  </si>
  <si>
    <t>D-191</t>
  </si>
  <si>
    <t>C-070</t>
  </si>
  <si>
    <t>C-069</t>
  </si>
  <si>
    <t>C-071</t>
  </si>
  <si>
    <t>C-072</t>
  </si>
  <si>
    <t>D-194</t>
  </si>
  <si>
    <t>D-175</t>
  </si>
  <si>
    <t>D-192</t>
  </si>
  <si>
    <t>from 01.SEC 52568 to 43.ER 10758 - total 43 wagns</t>
  </si>
  <si>
    <t>from 44.EC 10555 to 57.ECO 24602 - total 14 wagns</t>
  </si>
  <si>
    <t>Fraternelle</t>
  </si>
  <si>
    <t>D-200</t>
  </si>
  <si>
    <t>C-073</t>
  </si>
  <si>
    <t>D-205</t>
  </si>
  <si>
    <t>D-187</t>
  </si>
  <si>
    <t>C-074</t>
  </si>
  <si>
    <t>GCL Godavari</t>
  </si>
  <si>
    <t>D-202</t>
  </si>
  <si>
    <t>D-183</t>
  </si>
  <si>
    <t>C-075</t>
  </si>
  <si>
    <t>D-211</t>
  </si>
  <si>
    <t>D-204</t>
  </si>
  <si>
    <t>D-212</t>
  </si>
  <si>
    <t>D-219</t>
  </si>
  <si>
    <t>C-076</t>
  </si>
  <si>
    <t>C-077</t>
  </si>
  <si>
    <t>D-207</t>
  </si>
  <si>
    <t>C-078</t>
  </si>
  <si>
    <t>D-220</t>
  </si>
  <si>
    <t>16-05 24 8:45</t>
  </si>
  <si>
    <t>D-224</t>
  </si>
  <si>
    <t>C-080</t>
  </si>
  <si>
    <t>D-216</t>
  </si>
  <si>
    <t>C-081</t>
  </si>
  <si>
    <t>D-188</t>
  </si>
  <si>
    <t>C-082</t>
  </si>
  <si>
    <t>from 01.WR 60549 to 21.SE 61097 - total 21 wagns</t>
  </si>
  <si>
    <t>Vishva Malhar-Voy(4)</t>
  </si>
  <si>
    <t>from 22.WC 25705 to 57. SW 11837 - total 36 wagns</t>
  </si>
  <si>
    <t>D-214</t>
  </si>
  <si>
    <t>C-083</t>
  </si>
  <si>
    <t>D-235</t>
  </si>
  <si>
    <t>C-084</t>
  </si>
  <si>
    <t>D-206</t>
  </si>
  <si>
    <t>C-085</t>
  </si>
  <si>
    <t>D-231</t>
  </si>
  <si>
    <t>C-086</t>
  </si>
  <si>
    <t>D-239</t>
  </si>
  <si>
    <t>C-087</t>
  </si>
  <si>
    <t>D-189</t>
  </si>
  <si>
    <t>C-088</t>
  </si>
  <si>
    <t>D-233</t>
  </si>
  <si>
    <t>C-089</t>
  </si>
  <si>
    <t>D-213</t>
  </si>
  <si>
    <t>D-215</t>
  </si>
  <si>
    <t>D-253</t>
  </si>
  <si>
    <t>from 01.SE 15633 to 25.EC 28613 - total 25 wagns</t>
  </si>
  <si>
    <t>D-254</t>
  </si>
  <si>
    <t>from 01.WR 64684 to EC 26281 - total 34 wagns</t>
  </si>
  <si>
    <t>D-217</t>
  </si>
  <si>
    <t>D-248</t>
  </si>
  <si>
    <t>C-090</t>
  </si>
  <si>
    <t>D-261</t>
  </si>
  <si>
    <t>Thetis</t>
  </si>
  <si>
    <t>D-240</t>
  </si>
  <si>
    <t>D-256</t>
  </si>
  <si>
    <t>C-091</t>
  </si>
  <si>
    <t>D-218</t>
  </si>
  <si>
    <t>C-092</t>
  </si>
  <si>
    <t>D-259</t>
  </si>
  <si>
    <t>C-093</t>
  </si>
  <si>
    <t>D-241</t>
  </si>
  <si>
    <t>C-094</t>
  </si>
  <si>
    <t>D-262</t>
  </si>
  <si>
    <t>C-095</t>
  </si>
  <si>
    <t>D-266</t>
  </si>
  <si>
    <t>C-096</t>
  </si>
  <si>
    <t>from 01.SC 10222 to 13.SC 10178 - total 13 wgns</t>
  </si>
  <si>
    <t>Vishva Malhar-Voy(5)</t>
  </si>
  <si>
    <t>from 14.SC 10215 to 59.SC 14452 - total 46 wagns</t>
  </si>
  <si>
    <t>D-257</t>
  </si>
  <si>
    <t>C-097</t>
  </si>
  <si>
    <t>D-282</t>
  </si>
  <si>
    <t>C-098</t>
  </si>
  <si>
    <t>D-258</t>
  </si>
  <si>
    <t>C-099</t>
  </si>
  <si>
    <t>C-100</t>
  </si>
  <si>
    <t>D-267</t>
  </si>
  <si>
    <t>D-287</t>
  </si>
  <si>
    <t>from 01.SE 63137 to 10.EC 15549 - total 10 wagns</t>
  </si>
  <si>
    <t>D-288</t>
  </si>
  <si>
    <t>from 01.EC 16865 to 48.ECO 60485 - total 48 wagns</t>
  </si>
  <si>
    <t>C-101</t>
  </si>
  <si>
    <t>C-102</t>
  </si>
  <si>
    <t>D-275</t>
  </si>
  <si>
    <t>C-103</t>
  </si>
  <si>
    <t>C-104</t>
  </si>
  <si>
    <t>D-289</t>
  </si>
  <si>
    <t>from 01.WC 32154 to 37.SEC 33730 &amp; 56.ECO 22880 to 59.SE 21264 - total 41 wagns</t>
  </si>
  <si>
    <t>from 38.WR 60130 to 55.SC 79135 - total 18 wagns</t>
  </si>
  <si>
    <t>C-105</t>
  </si>
  <si>
    <t>D-250</t>
  </si>
  <si>
    <t>C-106</t>
  </si>
  <si>
    <t>D-300</t>
  </si>
  <si>
    <t>D-306</t>
  </si>
  <si>
    <t>C-107</t>
  </si>
  <si>
    <t>D-331</t>
  </si>
  <si>
    <t>D-260</t>
  </si>
  <si>
    <t>D-307</t>
  </si>
  <si>
    <t>KUJU</t>
  </si>
  <si>
    <t>D-329</t>
  </si>
  <si>
    <t>D-249</t>
  </si>
  <si>
    <t>D-340</t>
  </si>
  <si>
    <t>D-338</t>
  </si>
  <si>
    <t>BKSC</t>
  </si>
  <si>
    <t>D-342</t>
  </si>
  <si>
    <t>D-344</t>
  </si>
  <si>
    <t>D-346</t>
  </si>
  <si>
    <t>C-108</t>
  </si>
  <si>
    <t>D-348</t>
  </si>
  <si>
    <t>C-109</t>
  </si>
  <si>
    <t>from 01.SEC 12923 to 52.EC 36139 Total 52 wagns</t>
  </si>
  <si>
    <t>Jal Kalpataru</t>
  </si>
  <si>
    <t>From 53.NR 60098 to 58.EC 62126 Total 6 wagns</t>
  </si>
  <si>
    <t>C-110</t>
  </si>
  <si>
    <t>C-111</t>
  </si>
  <si>
    <t>D-354</t>
  </si>
  <si>
    <t>D-357</t>
  </si>
  <si>
    <t>C-112</t>
  </si>
  <si>
    <t>D-361</t>
  </si>
  <si>
    <t>C-113</t>
  </si>
  <si>
    <t>C-114</t>
  </si>
  <si>
    <t>D-366</t>
  </si>
  <si>
    <t>C-115</t>
  </si>
  <si>
    <t>from 01.SW 12254 to 57.EC 18121 Total 57 wagns</t>
  </si>
  <si>
    <t>Vishva Malhar-Voy(6)</t>
  </si>
  <si>
    <t>only 58.SEC 98900 Total 1 wagn</t>
  </si>
  <si>
    <t>C-116</t>
  </si>
  <si>
    <t>C-117</t>
  </si>
  <si>
    <t>D-376</t>
  </si>
  <si>
    <t>C-118</t>
  </si>
  <si>
    <t>D-330</t>
  </si>
  <si>
    <t>C-119</t>
  </si>
  <si>
    <t>C-120</t>
  </si>
  <si>
    <t>C-121</t>
  </si>
  <si>
    <t>D-385</t>
  </si>
  <si>
    <t>C-122</t>
  </si>
  <si>
    <t>C-123</t>
  </si>
  <si>
    <t>D-384</t>
  </si>
  <si>
    <t>C-124</t>
  </si>
  <si>
    <t>D-391</t>
  </si>
  <si>
    <t>C-125</t>
  </si>
  <si>
    <t>D-395</t>
  </si>
  <si>
    <t>C-126</t>
  </si>
  <si>
    <t>C-127</t>
  </si>
  <si>
    <t>C-129</t>
  </si>
  <si>
    <t>Rake weighed out side kspl  due to RIMWB Breakdown</t>
  </si>
  <si>
    <t>D-403</t>
  </si>
  <si>
    <t>C-130</t>
  </si>
  <si>
    <t>C-131</t>
  </si>
  <si>
    <t>Rake weighed out side kslk  due to RIMWB Breakdown</t>
  </si>
  <si>
    <t>C-132</t>
  </si>
  <si>
    <t>C-133</t>
  </si>
  <si>
    <t>C-134</t>
  </si>
  <si>
    <t>D-414</t>
  </si>
  <si>
    <t>D-417</t>
  </si>
  <si>
    <t>D-439 00.1</t>
  </si>
  <si>
    <t>14-06-24 4:$0</t>
  </si>
  <si>
    <t>D-439 00.2</t>
  </si>
  <si>
    <t>C-128</t>
  </si>
  <si>
    <t>C-135</t>
  </si>
  <si>
    <t>D-442</t>
  </si>
  <si>
    <t>C-136</t>
  </si>
  <si>
    <t>D-449</t>
  </si>
  <si>
    <t>C-137</t>
  </si>
  <si>
    <t>C-138</t>
  </si>
  <si>
    <t>D-450</t>
  </si>
  <si>
    <t>C-139</t>
  </si>
  <si>
    <t>D-454</t>
  </si>
  <si>
    <t>D-458</t>
  </si>
  <si>
    <t>Guo Rui</t>
  </si>
  <si>
    <t>D-459</t>
  </si>
  <si>
    <t>C-140</t>
  </si>
  <si>
    <t>From 01.NW 45354 to 49.SEC 10269 Total 49 wagns</t>
  </si>
  <si>
    <t>Medi Venezia</t>
  </si>
  <si>
    <t>From 50.WR 61642 to 59.CR 60018 Total 10 wagns</t>
  </si>
  <si>
    <t>C-141</t>
  </si>
  <si>
    <t>C-142</t>
  </si>
  <si>
    <t>SP-6,7</t>
  </si>
  <si>
    <t>C-143</t>
  </si>
  <si>
    <t>From 01.EC 36138 to 30.ECO 13075 Total 30 wagns</t>
  </si>
  <si>
    <t>From 31.ECO 58413 to 59.SEC 17405 Total 29 wagns</t>
  </si>
  <si>
    <t>C-144</t>
  </si>
  <si>
    <t>From 01.SW 69863 to 30.CR 14951 Total 30 wagns</t>
  </si>
  <si>
    <t>From 31.SE 20368 to 59.ECO 80502 Total 29 wagns</t>
  </si>
  <si>
    <t>C-145</t>
  </si>
  <si>
    <t>C-146</t>
  </si>
  <si>
    <t>C-147</t>
  </si>
  <si>
    <t>C-148</t>
  </si>
  <si>
    <t>C-149</t>
  </si>
  <si>
    <t>C-150</t>
  </si>
  <si>
    <t>C-151</t>
  </si>
  <si>
    <t>C-152</t>
  </si>
  <si>
    <t>C-153</t>
  </si>
  <si>
    <t>D-466</t>
  </si>
  <si>
    <t>D-490</t>
  </si>
  <si>
    <t>D-492</t>
  </si>
  <si>
    <t>D-497</t>
  </si>
  <si>
    <t>D-502</t>
  </si>
  <si>
    <t>C-154</t>
  </si>
  <si>
    <t>C-155</t>
  </si>
  <si>
    <t>From 01.SC 36656 TO 13.WR 13539 TOTAL 13 wagns</t>
  </si>
  <si>
    <t>Medi Venezia-Voy(2)</t>
  </si>
  <si>
    <t>From 14.WR 10449 TO 58.EC 39007 TOTAL 45 wagns</t>
  </si>
  <si>
    <t>C-156</t>
  </si>
  <si>
    <t>D-154</t>
  </si>
  <si>
    <t>C-157</t>
  </si>
  <si>
    <t>C-158</t>
  </si>
  <si>
    <t>C-159</t>
  </si>
  <si>
    <t>D-520</t>
  </si>
  <si>
    <t>C-160</t>
  </si>
  <si>
    <t>D-525</t>
  </si>
  <si>
    <t>D-528</t>
  </si>
  <si>
    <t>From 57.SW 79916 TO 59.ECO 86607 TOTAL 3 wagns</t>
  </si>
  <si>
    <t>From 01.SE 60111 TO 56.SEC 54169 TOTAL 56 wagns</t>
  </si>
  <si>
    <t>C-161</t>
  </si>
  <si>
    <t>C-162</t>
  </si>
  <si>
    <t>Aquaman</t>
  </si>
  <si>
    <t>D-531</t>
  </si>
  <si>
    <t>C-163</t>
  </si>
  <si>
    <t>C-164</t>
  </si>
  <si>
    <t>D-537</t>
  </si>
  <si>
    <t>C-165</t>
  </si>
  <si>
    <t>C-166</t>
  </si>
  <si>
    <t>C-167</t>
  </si>
  <si>
    <t>D-536</t>
  </si>
  <si>
    <t>D-543</t>
  </si>
  <si>
    <t>C-168</t>
  </si>
  <si>
    <t>D-549</t>
  </si>
  <si>
    <t>C-169</t>
  </si>
  <si>
    <t>From 01.SC 54163 TO 41.EC 46798 TOTAL 41 wagns</t>
  </si>
  <si>
    <t>Vishva Bandhan</t>
  </si>
  <si>
    <t>From 42.SE 11281 TO 59.ER 12643 TOTAL 18 wagns</t>
  </si>
  <si>
    <t>C-170</t>
  </si>
  <si>
    <t>D-551.001</t>
  </si>
  <si>
    <t>From 01.SE 61033 to 57.WR 63765 TOTAL 57 wagns</t>
  </si>
  <si>
    <t>D-551.002</t>
  </si>
  <si>
    <t>only 01.WR 13495 total 1 wagn</t>
  </si>
  <si>
    <t>Sylvia</t>
  </si>
  <si>
    <t>D-554</t>
  </si>
  <si>
    <t>C-171</t>
  </si>
  <si>
    <t>D-561</t>
  </si>
  <si>
    <t>D-562</t>
  </si>
  <si>
    <t>C-172</t>
  </si>
  <si>
    <t>C-173</t>
  </si>
  <si>
    <t>D-566</t>
  </si>
  <si>
    <t>D-568</t>
  </si>
  <si>
    <t>Vishva Vijay</t>
  </si>
  <si>
    <t>C-174</t>
  </si>
  <si>
    <t>C-175</t>
  </si>
  <si>
    <t>C-176</t>
  </si>
  <si>
    <t>D-572</t>
  </si>
  <si>
    <t>C-177</t>
  </si>
  <si>
    <t>C-178</t>
  </si>
  <si>
    <t>C-179</t>
  </si>
  <si>
    <t>C-180</t>
  </si>
  <si>
    <t>C-181</t>
  </si>
  <si>
    <t>D-581</t>
  </si>
  <si>
    <t>C-182</t>
  </si>
  <si>
    <t>C-183</t>
  </si>
  <si>
    <t>C-184</t>
  </si>
  <si>
    <t>C-185</t>
  </si>
  <si>
    <t>D-590</t>
  </si>
  <si>
    <t>C-186</t>
  </si>
  <si>
    <t>D-596</t>
  </si>
  <si>
    <t>C-187</t>
  </si>
  <si>
    <t>C-188</t>
  </si>
  <si>
    <t>C-189</t>
  </si>
  <si>
    <t>D-600</t>
  </si>
  <si>
    <t>C-190</t>
  </si>
  <si>
    <t>C-191</t>
  </si>
  <si>
    <t>D-605</t>
  </si>
  <si>
    <t>D-606</t>
  </si>
  <si>
    <t>C-192</t>
  </si>
  <si>
    <t>C-193</t>
  </si>
  <si>
    <t>C-194</t>
  </si>
  <si>
    <t>C-195</t>
  </si>
  <si>
    <t>D-615</t>
  </si>
  <si>
    <t>From 2.5 .SW 13937 to 57.5 ECO 52384 Total 57.5 wagns</t>
  </si>
  <si>
    <t>From 01.SE 60176 to 1.5 SW 13937 Total 1.5 wagns</t>
  </si>
  <si>
    <t>C-196</t>
  </si>
  <si>
    <t>D-619</t>
  </si>
  <si>
    <t>From 01.NC 36803 to 31.SEC 25698 Total 31 wagns</t>
  </si>
  <si>
    <t>Hisaronu</t>
  </si>
  <si>
    <t>From 32.SEC 39088 to 59.SC 67050 Total 28 wagns</t>
  </si>
  <si>
    <t>C-197</t>
  </si>
  <si>
    <t>D-626</t>
  </si>
  <si>
    <t>C-198</t>
  </si>
  <si>
    <t>C-199</t>
  </si>
  <si>
    <t>D-631</t>
  </si>
  <si>
    <t>C-200</t>
  </si>
  <si>
    <t>17-07-2401:35</t>
  </si>
  <si>
    <t>C-201</t>
  </si>
  <si>
    <t xml:space="preserve">From 01.CR 14671 to 38.EC 644701 Total 38 wagns </t>
  </si>
  <si>
    <t>Vishva Prerna</t>
  </si>
  <si>
    <t>From 39.SEC 35628 to 59.ECO 120382 Total 21 wagns</t>
  </si>
  <si>
    <t>C-202</t>
  </si>
  <si>
    <t>C-203</t>
  </si>
  <si>
    <t>D-625</t>
  </si>
  <si>
    <t>D-638</t>
  </si>
  <si>
    <t>C-204</t>
  </si>
  <si>
    <t>D-641</t>
  </si>
  <si>
    <t>C-205</t>
  </si>
  <si>
    <t>C-206</t>
  </si>
  <si>
    <t>C-207</t>
  </si>
  <si>
    <t>Continuous RTL Chut Jam, resulting to DC - 0300 hrs</t>
  </si>
  <si>
    <t>C-208</t>
  </si>
  <si>
    <t>Continuous RTL Chut Jam, resulting to DC - 0600 hrs</t>
  </si>
  <si>
    <t>D-650</t>
  </si>
  <si>
    <t>C-209</t>
  </si>
  <si>
    <t>C-210</t>
  </si>
  <si>
    <t>C-211</t>
  </si>
  <si>
    <t>C-212</t>
  </si>
  <si>
    <t>C-213</t>
  </si>
  <si>
    <t>C-214</t>
  </si>
  <si>
    <t>D-670</t>
  </si>
  <si>
    <t>C-215</t>
  </si>
  <si>
    <t>C-216</t>
  </si>
  <si>
    <t>From 25.SC 39299 To 58.SEC 52981 Total 34 Wagons</t>
  </si>
  <si>
    <t>Vishva Prerna-Voy(2)</t>
  </si>
  <si>
    <t>From 01.EC 15600 To 24.ECO 24885 Total 24 Wagons</t>
  </si>
  <si>
    <t>C-217</t>
  </si>
  <si>
    <t>C-218</t>
  </si>
  <si>
    <t>D-683</t>
  </si>
  <si>
    <t>C-219</t>
  </si>
  <si>
    <t>D-684</t>
  </si>
  <si>
    <t>C-220</t>
  </si>
  <si>
    <t>D-667</t>
  </si>
  <si>
    <t>C-221</t>
  </si>
  <si>
    <t>C-222</t>
  </si>
  <si>
    <t>C-223</t>
  </si>
  <si>
    <t>D-695</t>
  </si>
  <si>
    <t>RR Qty : 3976.36 &amp; Weighment Qty :3981.76 - (Diffence Qty : 5.4)</t>
  </si>
  <si>
    <t>C-224</t>
  </si>
  <si>
    <t>C-225</t>
  </si>
  <si>
    <t>C-226</t>
  </si>
  <si>
    <t>C-227</t>
  </si>
  <si>
    <t>C-228</t>
  </si>
  <si>
    <t>D-700</t>
  </si>
  <si>
    <t>C-229</t>
  </si>
  <si>
    <t>C-230</t>
  </si>
  <si>
    <t>From 01.SE 76758 To 30.ECO 63035 Total 30 wagons</t>
  </si>
  <si>
    <t>Jal Kalpavriksh</t>
  </si>
  <si>
    <t>From 31.ECO 33607 To 58.EC 43424 Total 28 wagons</t>
  </si>
  <si>
    <t>C-231</t>
  </si>
  <si>
    <t>C-232</t>
  </si>
  <si>
    <t>C-233</t>
  </si>
  <si>
    <t>D-711</t>
  </si>
  <si>
    <t>C-234</t>
  </si>
  <si>
    <t>From 01.WR 60059 To 25.NC 40479 Total 25 Wagons</t>
  </si>
  <si>
    <t>Anastasia K</t>
  </si>
  <si>
    <t>From 26.ECO 60061 To 57.NC 82941 Total 32 Wagons</t>
  </si>
  <si>
    <t>C-235</t>
  </si>
  <si>
    <t>C-236</t>
  </si>
  <si>
    <t>Canopus-Alpine</t>
  </si>
  <si>
    <t>D-720</t>
  </si>
  <si>
    <t>C-237</t>
  </si>
  <si>
    <t>D-723</t>
  </si>
  <si>
    <t>C-238</t>
  </si>
  <si>
    <t>D-727</t>
  </si>
  <si>
    <t>C-239</t>
  </si>
  <si>
    <t>D-730</t>
  </si>
  <si>
    <t>C-240</t>
  </si>
  <si>
    <t>D-733</t>
  </si>
  <si>
    <t>C-241</t>
  </si>
  <si>
    <t>D-734</t>
  </si>
  <si>
    <t>C-242</t>
  </si>
  <si>
    <t>D-737</t>
  </si>
  <si>
    <t>Canopus-LV Hard</t>
  </si>
  <si>
    <t>D-739</t>
  </si>
  <si>
    <t>D-740</t>
  </si>
  <si>
    <t>C-243</t>
  </si>
  <si>
    <t>C-244</t>
  </si>
  <si>
    <t>BOXNHL 25 T</t>
  </si>
  <si>
    <t>C-245</t>
  </si>
  <si>
    <t>D-743</t>
  </si>
  <si>
    <t>C-246</t>
  </si>
  <si>
    <t>C-247</t>
  </si>
  <si>
    <t>D-744</t>
  </si>
  <si>
    <t>D-748</t>
  </si>
  <si>
    <t>C-248</t>
  </si>
  <si>
    <t>C-249</t>
  </si>
  <si>
    <t>D-753</t>
  </si>
  <si>
    <t>C-250</t>
  </si>
  <si>
    <t>D-756</t>
  </si>
  <si>
    <t>C-251</t>
  </si>
  <si>
    <t>D-758</t>
  </si>
  <si>
    <t>C-252</t>
  </si>
  <si>
    <t>D-762</t>
  </si>
  <si>
    <t>C-253</t>
  </si>
  <si>
    <t>D-765</t>
  </si>
  <si>
    <t>C-254</t>
  </si>
  <si>
    <t>D-769</t>
  </si>
  <si>
    <t>C-255</t>
  </si>
  <si>
    <t>C-256</t>
  </si>
  <si>
    <t>C-257</t>
  </si>
  <si>
    <t>D-774</t>
  </si>
  <si>
    <t>C-258</t>
  </si>
  <si>
    <t>Sivota</t>
  </si>
  <si>
    <t>D-776</t>
  </si>
  <si>
    <t>C-259</t>
  </si>
  <si>
    <t>D-781</t>
  </si>
  <si>
    <t>D-783</t>
  </si>
  <si>
    <t>C-260</t>
  </si>
  <si>
    <t>D-785</t>
  </si>
  <si>
    <t>D-788</t>
  </si>
  <si>
    <t>C-261</t>
  </si>
  <si>
    <t>D-790</t>
  </si>
  <si>
    <t>D-792</t>
  </si>
  <si>
    <t>D-795</t>
  </si>
  <si>
    <t>C-262</t>
  </si>
  <si>
    <t>Rake loading Stoped SCR-2 Centre Chute Jam Resulting DC-0100 Hour</t>
  </si>
  <si>
    <t>D-801</t>
  </si>
  <si>
    <t>D-804</t>
  </si>
  <si>
    <t>C-263</t>
  </si>
  <si>
    <t>C-264</t>
  </si>
  <si>
    <t>D-805</t>
  </si>
  <si>
    <t>C-265</t>
  </si>
  <si>
    <t>From 01.WC 19585 to 14.SW 39153 Total 14 Wagns</t>
  </si>
  <si>
    <t>Jag Rani</t>
  </si>
  <si>
    <t>From 15.SW 15860 to 57 SEC 25264 Total 43 Wagns</t>
  </si>
  <si>
    <t>D-811</t>
  </si>
  <si>
    <t>C-266</t>
  </si>
  <si>
    <t>D-814</t>
  </si>
  <si>
    <t>C-267</t>
  </si>
  <si>
    <t>C-268</t>
  </si>
  <si>
    <t>C-269</t>
  </si>
  <si>
    <t>D-819</t>
  </si>
  <si>
    <t>D-810</t>
  </si>
  <si>
    <t>C-270</t>
  </si>
  <si>
    <t>D-820</t>
  </si>
  <si>
    <t>D-823</t>
  </si>
  <si>
    <t>D-824</t>
  </si>
  <si>
    <t>C-271</t>
  </si>
  <si>
    <t>C-272</t>
  </si>
  <si>
    <t>D-829</t>
  </si>
  <si>
    <t>C-273</t>
  </si>
  <si>
    <t>C-274</t>
  </si>
  <si>
    <t>D-837</t>
  </si>
  <si>
    <t>D-835</t>
  </si>
  <si>
    <t>D-843.1</t>
  </si>
  <si>
    <t>Form 28.SE 50911 to 58.EC 10804 Total 31 Wagns</t>
  </si>
  <si>
    <t>D-843.2</t>
  </si>
  <si>
    <t>Form 01.WR 60867 to 27.SE 28593 Total 27 Wagns</t>
  </si>
  <si>
    <t>C-275</t>
  </si>
  <si>
    <t>C-276</t>
  </si>
  <si>
    <t>Gng Concord 3</t>
  </si>
  <si>
    <t>D-848</t>
  </si>
  <si>
    <t>D-852</t>
  </si>
  <si>
    <t>C-277</t>
  </si>
  <si>
    <t>C-278</t>
  </si>
  <si>
    <t>C-279</t>
  </si>
  <si>
    <t>From 01.NC 78739 to 05.SEC 44747 Total 5 wagns</t>
  </si>
  <si>
    <t>Crimson Ark</t>
  </si>
  <si>
    <t>From 06.EC 54857 to 59.SE 60712 Total 54 wagns</t>
  </si>
  <si>
    <t>D-860</t>
  </si>
  <si>
    <t>C-280</t>
  </si>
  <si>
    <t>D-862</t>
  </si>
  <si>
    <t>Kirribilli</t>
  </si>
  <si>
    <t>D-853</t>
  </si>
  <si>
    <t>D-864</t>
  </si>
  <si>
    <t>C-281</t>
  </si>
  <si>
    <t>C-282</t>
  </si>
  <si>
    <t>C-283</t>
  </si>
  <si>
    <t>D-867</t>
  </si>
  <si>
    <t>D-870</t>
  </si>
  <si>
    <t>VCSG</t>
  </si>
  <si>
    <t>D-868</t>
  </si>
  <si>
    <t>C-284</t>
  </si>
  <si>
    <t>C-285</t>
  </si>
  <si>
    <t>KCCS</t>
  </si>
  <si>
    <t>D-875</t>
  </si>
  <si>
    <t>D-874</t>
  </si>
  <si>
    <t>C-286</t>
  </si>
  <si>
    <t>C-287</t>
  </si>
  <si>
    <t>D-883</t>
  </si>
  <si>
    <t>D-880</t>
  </si>
  <si>
    <t>D-885</t>
  </si>
  <si>
    <t>C-288</t>
  </si>
  <si>
    <t>D-882</t>
  </si>
  <si>
    <t>D-891</t>
  </si>
  <si>
    <t>D-895</t>
  </si>
  <si>
    <t>D-907</t>
  </si>
  <si>
    <t>D-910</t>
  </si>
  <si>
    <t>From 01.EC 12395 to 50.NC 60672 Total 50 Wagns</t>
  </si>
  <si>
    <t>From 51.ECO 87024 to 58.WR 60037 Total 8 Wagns</t>
  </si>
  <si>
    <t>Jasco Taicang</t>
  </si>
  <si>
    <t>D-911</t>
  </si>
  <si>
    <t>D-912</t>
  </si>
  <si>
    <t>D-913</t>
  </si>
  <si>
    <t>From 01.EC 13583 to 33.EC 50729 Total 33 Wagns</t>
  </si>
  <si>
    <t>From 34.ER 12285 to 57.CR 01796 Total 24 Wagns</t>
  </si>
  <si>
    <t>UCLJ</t>
  </si>
  <si>
    <t>D-914</t>
  </si>
  <si>
    <t>D-918</t>
  </si>
  <si>
    <t>D-919</t>
  </si>
  <si>
    <t>C-289</t>
  </si>
  <si>
    <t>D-924</t>
  </si>
  <si>
    <t>D-926</t>
  </si>
  <si>
    <t>07 hours DC due to this rake to be manually loaded.RTL power cable damaged.</t>
  </si>
  <si>
    <t>C-290</t>
  </si>
  <si>
    <t>C-291</t>
  </si>
  <si>
    <t>D-932</t>
  </si>
  <si>
    <t>D-933</t>
  </si>
  <si>
    <t>C-292</t>
  </si>
  <si>
    <t>D-935</t>
  </si>
  <si>
    <t>D-939</t>
  </si>
  <si>
    <t>D-941</t>
  </si>
  <si>
    <t>C-293</t>
  </si>
  <si>
    <t>D-943</t>
  </si>
  <si>
    <t>D-944</t>
  </si>
  <si>
    <t>D-945</t>
  </si>
  <si>
    <t>C-294</t>
  </si>
  <si>
    <t>D-948</t>
  </si>
  <si>
    <t>C-295</t>
  </si>
  <si>
    <t>D-951</t>
  </si>
  <si>
    <t>From 01.SEC 10034 to 49.EC 30794 Total 49 Wagns</t>
  </si>
  <si>
    <t>From 50.EC 30151 to 59.NR 17805 Total 10 Wagns</t>
  </si>
  <si>
    <t>D-949</t>
  </si>
  <si>
    <t>D-952</t>
  </si>
  <si>
    <t>C-297</t>
  </si>
  <si>
    <t>C-298</t>
  </si>
  <si>
    <t>D-955</t>
  </si>
  <si>
    <t>D-956</t>
  </si>
  <si>
    <t>C-299</t>
  </si>
  <si>
    <t>C-300</t>
  </si>
  <si>
    <t>From 01.SC 28182 to 40.SEC 14463 Total 40 Wagns</t>
  </si>
  <si>
    <t>Star Flame</t>
  </si>
  <si>
    <t>From 41.SEC 86235 to 59.EC 17757 Total 19 Wagns</t>
  </si>
  <si>
    <t>D-961</t>
  </si>
  <si>
    <t>D-964</t>
  </si>
  <si>
    <t>C-301</t>
  </si>
  <si>
    <t>Sarat Apgenco Rake Due to RTL CRD Problem &amp; SCR 2 Center Chute Jammed</t>
  </si>
  <si>
    <t>C-302</t>
  </si>
  <si>
    <t>D-966</t>
  </si>
  <si>
    <t>C-303</t>
  </si>
  <si>
    <t>Ns Hangzhou</t>
  </si>
  <si>
    <t>D-967</t>
  </si>
  <si>
    <t>D-971</t>
  </si>
  <si>
    <t>D-974</t>
  </si>
  <si>
    <t>D-975</t>
  </si>
  <si>
    <t>From 01.NF 10445 to 18.ER 11932 Total 18 Wagns</t>
  </si>
  <si>
    <t>From19.SR 44824 to 58.SEC 33358 Total 40 Wagns</t>
  </si>
  <si>
    <t>C-304</t>
  </si>
  <si>
    <t>C-305</t>
  </si>
  <si>
    <t>D-979</t>
  </si>
  <si>
    <t>D-980</t>
  </si>
  <si>
    <t>C-306</t>
  </si>
  <si>
    <t>20--09-24 14:00</t>
  </si>
  <si>
    <t>C-307</t>
  </si>
  <si>
    <t>Castil De Malpica</t>
  </si>
  <si>
    <t>D-985</t>
  </si>
  <si>
    <t>D-988</t>
  </si>
  <si>
    <t>D-989</t>
  </si>
  <si>
    <t>D-986</t>
  </si>
  <si>
    <t>D-993</t>
  </si>
  <si>
    <t>D-999.001</t>
  </si>
  <si>
    <t>From 01.SC -62673 to 17 ECO 10609 Total 17 Wagns</t>
  </si>
  <si>
    <t>D-999.002</t>
  </si>
  <si>
    <t>From 01.SC -19572 to 42 SEC 43476 Total 42 Wagns</t>
  </si>
  <si>
    <t>C-308</t>
  </si>
  <si>
    <t>D-1003</t>
  </si>
  <si>
    <t>D-1004</t>
  </si>
  <si>
    <t>D-1007</t>
  </si>
  <si>
    <t>C-309</t>
  </si>
  <si>
    <t>D-1008</t>
  </si>
  <si>
    <t>D-1011</t>
  </si>
  <si>
    <t>D-1013</t>
  </si>
  <si>
    <t>D-1022</t>
  </si>
  <si>
    <t>C-310</t>
  </si>
  <si>
    <t>D-1026</t>
  </si>
  <si>
    <t>D-1030</t>
  </si>
  <si>
    <t>D-1031</t>
  </si>
  <si>
    <t>C-311</t>
  </si>
  <si>
    <t>C-312</t>
  </si>
  <si>
    <t>D-1035</t>
  </si>
  <si>
    <t>D-1038</t>
  </si>
  <si>
    <t>D-1023</t>
  </si>
  <si>
    <t>D-1041</t>
  </si>
  <si>
    <t>C-313</t>
  </si>
  <si>
    <t>D-1043</t>
  </si>
  <si>
    <t>C-314</t>
  </si>
  <si>
    <t>D-1045</t>
  </si>
  <si>
    <t>D-1047</t>
  </si>
  <si>
    <t>C-315</t>
  </si>
  <si>
    <t>C-316</t>
  </si>
  <si>
    <t>D-1050</t>
  </si>
  <si>
    <t>D-1052</t>
  </si>
  <si>
    <t>C-317</t>
  </si>
  <si>
    <t>D-002</t>
  </si>
  <si>
    <t>From 01.SEC 44675 to 02.SE 63611 Total 2 wagns</t>
  </si>
  <si>
    <t>Crimson Ark-Voy(2)</t>
  </si>
  <si>
    <t>From 03.SEC 23536 to 58.NR 10458 Total 56 wagns</t>
  </si>
  <si>
    <t>D-004</t>
  </si>
  <si>
    <t>D-006</t>
  </si>
  <si>
    <t>D-009.1</t>
  </si>
  <si>
    <t>Courtesy K</t>
  </si>
  <si>
    <t>D-009.2</t>
  </si>
  <si>
    <t>D-011</t>
  </si>
  <si>
    <t>From 06.ECO-88443 to 54.SEC-75581 Total 49 wagns</t>
  </si>
  <si>
    <t>From 01.ER-61219 to 05.SE-60835 Total 5 wagns</t>
  </si>
  <si>
    <t>From 55.NR-15524 to 58.NC-24037 Total 4 wagns</t>
  </si>
  <si>
    <t>D-016</t>
  </si>
  <si>
    <t>D-018</t>
  </si>
  <si>
    <t>D-020</t>
  </si>
  <si>
    <t>D-025</t>
  </si>
  <si>
    <t>D-029</t>
  </si>
  <si>
    <t>D-039</t>
  </si>
  <si>
    <t>D-049</t>
  </si>
  <si>
    <t>From 01.ECO-61970 to 10.WR-23513 total 10 wagns</t>
  </si>
  <si>
    <t>From 11.WC-13375 to 59.SC-79661 total 49 wagns</t>
  </si>
  <si>
    <t>D-063</t>
  </si>
  <si>
    <t>D-091</t>
  </si>
  <si>
    <t>D-110</t>
  </si>
  <si>
    <t>D-112</t>
  </si>
  <si>
    <t>D-132</t>
  </si>
  <si>
    <t>Vishva Ekta</t>
  </si>
  <si>
    <t>D-145</t>
  </si>
  <si>
    <t>From 01.WC-56192 to 48.ECO-19344 total 48 Wagns</t>
  </si>
  <si>
    <t>D-144</t>
  </si>
  <si>
    <t>From 01.NE-10705 to 08.ECO -19035 total 8 Wagns</t>
  </si>
  <si>
    <t>D-146</t>
  </si>
  <si>
    <t>Vishva Vinay</t>
  </si>
  <si>
    <t>From 43.EC0-15390 to 59.WR-60015 Total 17 Wagns</t>
  </si>
  <si>
    <t>From 01.WC-45076 to 42.SEC-97415 Total 42 wagns</t>
  </si>
  <si>
    <t>C-037</t>
  </si>
  <si>
    <t>D-208</t>
  </si>
  <si>
    <t>Morea</t>
  </si>
  <si>
    <t>D-209</t>
  </si>
  <si>
    <t>D-221</t>
  </si>
  <si>
    <t>Tai Helios</t>
  </si>
  <si>
    <t>D-225</t>
  </si>
  <si>
    <t>D-227</t>
  </si>
  <si>
    <t>D-234</t>
  </si>
  <si>
    <t>D-247</t>
  </si>
  <si>
    <t>Mila</t>
  </si>
  <si>
    <t>From 01.SC-84900 to 44.ECO-24123 Total 44 wagns</t>
  </si>
  <si>
    <t>Chola Destiny</t>
  </si>
  <si>
    <t>From 45.ECO-59311 to 58.SEC-15869 Total 14 wagns</t>
  </si>
  <si>
    <t>D-265</t>
  </si>
  <si>
    <t>D-268</t>
  </si>
  <si>
    <t>D-272</t>
  </si>
  <si>
    <t>D-278</t>
  </si>
  <si>
    <t>Ns Xiamen</t>
  </si>
  <si>
    <t>Manual rake Loading</t>
  </si>
  <si>
    <t>D-290</t>
  </si>
  <si>
    <t>D-295</t>
  </si>
  <si>
    <t>D-298</t>
  </si>
  <si>
    <t>D-301</t>
  </si>
  <si>
    <t>D-309</t>
  </si>
  <si>
    <t>D-311</t>
  </si>
  <si>
    <t>Manual Rake loading</t>
  </si>
  <si>
    <t>D-313</t>
  </si>
  <si>
    <t>D-319</t>
  </si>
  <si>
    <t>D-323</t>
  </si>
  <si>
    <t>D-333</t>
  </si>
  <si>
    <t>D-341.01</t>
  </si>
  <si>
    <t>D-341.02</t>
  </si>
  <si>
    <t>D-347</t>
  </si>
  <si>
    <t>D-349</t>
  </si>
  <si>
    <t>D-355</t>
  </si>
  <si>
    <t>From 01.CR-500676 to 20.WR-960157 Total 20 wagons</t>
  </si>
  <si>
    <t>Vishva Ekta-Voy(2)</t>
  </si>
  <si>
    <t>From 21.SR-661166 to 59.SE-919005 Total 39 wagons</t>
  </si>
  <si>
    <t>D-359</t>
  </si>
  <si>
    <t>D-367</t>
  </si>
  <si>
    <t>D-370</t>
  </si>
  <si>
    <t>D-380</t>
  </si>
  <si>
    <t>D-387</t>
  </si>
  <si>
    <t>From 01.EC-84905 to 08.SC-63864 total 8 wagnos</t>
  </si>
  <si>
    <t>Apj Kabir Anand</t>
  </si>
  <si>
    <t>From 09.WC-71389 to 59.WR-60269 total 41 wagnos</t>
  </si>
  <si>
    <t>Star Nasia -Alpine</t>
  </si>
  <si>
    <t>D-389</t>
  </si>
  <si>
    <t>D-397</t>
  </si>
  <si>
    <t>D-398</t>
  </si>
  <si>
    <t>D-407</t>
  </si>
  <si>
    <t>D-409</t>
  </si>
  <si>
    <t>Star Nasia -Illawarra</t>
  </si>
  <si>
    <t>D-415</t>
  </si>
  <si>
    <t>08-12 24 4:55</t>
  </si>
  <si>
    <t>D-418</t>
  </si>
  <si>
    <t>From 01.CR-10901 to 33.NW.29302 Total 33 wagns</t>
  </si>
  <si>
    <t>Xin Yang Cai Fu</t>
  </si>
  <si>
    <t>From 34.WR.03409 to 58.EC.27818 Total 25 wagns</t>
  </si>
  <si>
    <t>D-425</t>
  </si>
  <si>
    <t>D-436</t>
  </si>
  <si>
    <t>Dedalos</t>
  </si>
  <si>
    <t>D-441</t>
  </si>
  <si>
    <t>D-445</t>
  </si>
  <si>
    <t>D-455</t>
  </si>
  <si>
    <t>D-456</t>
  </si>
  <si>
    <t>From 01.CR.10539 to 57.ER.61520 total 57 wagns</t>
  </si>
  <si>
    <t>58.SEC.36915 only 01 wagn</t>
  </si>
  <si>
    <t>D-460</t>
  </si>
  <si>
    <t>D-462</t>
  </si>
  <si>
    <t>D-467</t>
  </si>
  <si>
    <t>D-471</t>
  </si>
  <si>
    <t>D-474</t>
  </si>
  <si>
    <t>D-478</t>
  </si>
  <si>
    <t>D-488</t>
  </si>
  <si>
    <t>D-494</t>
  </si>
  <si>
    <t>D-495</t>
  </si>
  <si>
    <t>D-496</t>
  </si>
  <si>
    <t>D-499</t>
  </si>
  <si>
    <t>D-507</t>
  </si>
  <si>
    <t>D-509</t>
  </si>
  <si>
    <t>D-514</t>
  </si>
  <si>
    <t>from 01.NW-13325 to 45.ER-60809 total 45 wagns</t>
  </si>
  <si>
    <t>Apj Jaouad</t>
  </si>
  <si>
    <t>from 46.wc-13238 to 59.NC-29870 total 14 wagns</t>
  </si>
  <si>
    <t>Sagar Kanya</t>
  </si>
  <si>
    <t>D-519</t>
  </si>
  <si>
    <t>D-518</t>
  </si>
  <si>
    <t>D-526</t>
  </si>
  <si>
    <t>D-534</t>
  </si>
  <si>
    <t>D-548</t>
  </si>
  <si>
    <t>D-550</t>
  </si>
  <si>
    <t>D-564</t>
  </si>
  <si>
    <t>D-565</t>
  </si>
  <si>
    <t>D-570</t>
  </si>
  <si>
    <t>D-575</t>
  </si>
  <si>
    <t>D-578</t>
  </si>
  <si>
    <t>From 52.SE-25181 to 58.EC-51788 total 7 wagns</t>
  </si>
  <si>
    <t>From 01.EC-54251 to 51.SE-13676 total 51 wagns</t>
  </si>
  <si>
    <t>D-582</t>
  </si>
  <si>
    <t>From 01.CR-16804 to 20.SE-71753 total 20 wagns</t>
  </si>
  <si>
    <t>Apj Jaouad-Voy(2)</t>
  </si>
  <si>
    <t>From 21.EC-82878 to 58.ECO-19749 total 38 wagns</t>
  </si>
  <si>
    <t>D-599</t>
  </si>
  <si>
    <t>D-604</t>
  </si>
  <si>
    <t>D-610</t>
  </si>
  <si>
    <t>D-622</t>
  </si>
  <si>
    <t>D-632</t>
  </si>
  <si>
    <t>D-636</t>
  </si>
  <si>
    <t>D-637</t>
  </si>
  <si>
    <t>D-642</t>
  </si>
  <si>
    <t>D-646</t>
  </si>
  <si>
    <t>Apj Angad 2</t>
  </si>
  <si>
    <t>D-652</t>
  </si>
  <si>
    <t>D-654</t>
  </si>
  <si>
    <t>D-665</t>
  </si>
  <si>
    <t>D-669</t>
  </si>
  <si>
    <t>D-674</t>
  </si>
  <si>
    <t>D-676</t>
  </si>
  <si>
    <t>D-682</t>
  </si>
  <si>
    <t>D-685</t>
  </si>
  <si>
    <t>From 47.SW-11537 to 57.NR-13166 total 11 wagns</t>
  </si>
  <si>
    <t>From 01.WR-60580 to 46.NW-48744 &amp; 58.ECO-25236 total 47 wagns</t>
  </si>
  <si>
    <t>D-688</t>
  </si>
  <si>
    <t>D-691</t>
  </si>
  <si>
    <t>D-699</t>
  </si>
  <si>
    <t>From 01.ECO-99963 to 38.EC-29300 &amp; 50.NR-60774 to 59.EC-52235 total 49 wagns</t>
  </si>
  <si>
    <t>Shandong Fu Xin</t>
  </si>
  <si>
    <t>From 39.SC-10579 to 49.EC-26215 total 11 wagns</t>
  </si>
  <si>
    <t>From 01.SEC-24953 to 20.EC-82687 total 20 wagns</t>
  </si>
  <si>
    <t>Chola Symphony</t>
  </si>
  <si>
    <t>From 21.SEC-42071 to 59.SC-25429 to 39 wagns</t>
  </si>
  <si>
    <t>D-707</t>
  </si>
  <si>
    <t>D-712</t>
  </si>
  <si>
    <t>D-719</t>
  </si>
  <si>
    <t>D-731</t>
  </si>
  <si>
    <t>D-750</t>
  </si>
  <si>
    <t>From 01.SE.77337 to 09.SC.61914 total 9 wagns</t>
  </si>
  <si>
    <t>Apj Jaouad-Voy(3)</t>
  </si>
  <si>
    <t>From 10.EC.10326 to 58.NR.12094 total 49 wagns</t>
  </si>
  <si>
    <t>Csk Longevity-LV Hard</t>
  </si>
  <si>
    <t>D-773</t>
  </si>
  <si>
    <t>From 01.WC.24104 to 30.SE.10026 total 30 wagns</t>
  </si>
  <si>
    <t>Csk Longevity-Cook</t>
  </si>
  <si>
    <t>From 31.EC.18237 to 58.SEC.71457 total 28 wagns</t>
  </si>
  <si>
    <t>Nba Viva</t>
  </si>
  <si>
    <t>D-798</t>
  </si>
  <si>
    <t>From 01.EC.44955 to 06.ECO.17934 total 6 wagns</t>
  </si>
  <si>
    <t>Vishva Jyoti</t>
  </si>
  <si>
    <t>From 07.SW.13158 to 59.WC.75646 total 53 wagns</t>
  </si>
  <si>
    <t>D-818</t>
  </si>
  <si>
    <t>From 01.WC.16881 to 30.SE.43401 total 30 wagns</t>
  </si>
  <si>
    <t>From 31.WC.44116 to 59.SW.82740 total 29 wagns</t>
  </si>
  <si>
    <t>D-826</t>
  </si>
  <si>
    <t>D-849</t>
  </si>
  <si>
    <t>From 01.ECO.16671 to 47.ECO.35045 total 47 wagns</t>
  </si>
  <si>
    <t>Yasa Emirhan</t>
  </si>
  <si>
    <t>From 48.SE.05267 to 58.WR.61697 total 11 wagns</t>
  </si>
  <si>
    <t>D-859</t>
  </si>
  <si>
    <t>D-865</t>
  </si>
  <si>
    <t>From 01.SC.35492 to 30.SC.35393 total 30 wagns</t>
  </si>
  <si>
    <t>From 31.SC.35300 to 58 .SC.35621 total 28 wagns</t>
  </si>
  <si>
    <t>D-877</t>
  </si>
  <si>
    <t>D-887</t>
  </si>
  <si>
    <t>D-890</t>
  </si>
  <si>
    <t>D-892</t>
  </si>
  <si>
    <t>From 01.ECO.66109 to 32.NC.10549 total 32 wagns</t>
  </si>
  <si>
    <t>From 33.SEC.36032 to 58.wc.29048 total 26 wagns</t>
  </si>
  <si>
    <t>D-896</t>
  </si>
  <si>
    <t>From 01.WC.38839 to ECO. 31048 total 38 wagns</t>
  </si>
  <si>
    <t>Vishva Vinay-Voy(2)</t>
  </si>
  <si>
    <t>From 39.EC.46644 to 59.SEC.27180 total 21 wagns</t>
  </si>
  <si>
    <t>Ac Glorious</t>
  </si>
  <si>
    <t>D-901</t>
  </si>
  <si>
    <t>Chennai Valarchi</t>
  </si>
  <si>
    <t>RR qty pcc tonage generated</t>
  </si>
  <si>
    <t>D-916</t>
  </si>
  <si>
    <t>From 01.CR.13307 to 24.SEC.24374 total 24 wagns</t>
  </si>
  <si>
    <t>From 25.NC.57242 to 44.CR.60021 total 20 wagns</t>
  </si>
  <si>
    <t>From 45.SE.60693 to 59.EC.40850 total 15 wagns</t>
  </si>
  <si>
    <t>D-930</t>
  </si>
  <si>
    <t>From 50.SC.16712 to 59.EC.20626 total 10 wagns</t>
  </si>
  <si>
    <t>From 01.SC.69993 to 49.SEC.26802 total 49 wagns</t>
  </si>
  <si>
    <t>C-296</t>
  </si>
  <si>
    <t>From 01.ECO.20672 to 50.SEC.53336 total 50 wagns</t>
  </si>
  <si>
    <t>Chola Prosperity</t>
  </si>
  <si>
    <t>From 51.SEC.53660 to 59.SEC.13390 total 09 wagns</t>
  </si>
  <si>
    <t>D-950</t>
  </si>
  <si>
    <t>D-953</t>
  </si>
  <si>
    <t>D-963</t>
  </si>
  <si>
    <t>From 01.SE-40370 to 17.SEC-41166 total 17 wagns</t>
  </si>
  <si>
    <t>From 18.ER-60619 to 57.SE-61123 total 40 wagns</t>
  </si>
  <si>
    <t>From 01.SEC-15578 to ECO-30577 total 55 wagns</t>
  </si>
  <si>
    <t>Apj Kais</t>
  </si>
  <si>
    <t>From 56.ER-21481 to 59.SE-23002 total 4 wagns</t>
  </si>
  <si>
    <t>D-973</t>
  </si>
  <si>
    <t>From 01.CR-11126 to 23.SEC-60916 total 23 wagns</t>
  </si>
  <si>
    <t>From 24.NC-25127 to 45.SEC-29856 total 22 wagns</t>
  </si>
  <si>
    <t>C-318</t>
  </si>
  <si>
    <t>C-319</t>
  </si>
  <si>
    <t>C-320</t>
  </si>
  <si>
    <t>C-321</t>
  </si>
  <si>
    <t>C-322</t>
  </si>
  <si>
    <t>D-978</t>
  </si>
  <si>
    <t>C-323</t>
  </si>
  <si>
    <t>C-324</t>
  </si>
  <si>
    <t>C-325</t>
  </si>
  <si>
    <t>C-326</t>
  </si>
  <si>
    <t>C-327</t>
  </si>
  <si>
    <t>C-328</t>
  </si>
  <si>
    <t>C-329</t>
  </si>
  <si>
    <t>C-330</t>
  </si>
  <si>
    <t>C-331</t>
  </si>
  <si>
    <t>Chennai Valarchi-Voy(2)</t>
  </si>
  <si>
    <t>C-332</t>
  </si>
  <si>
    <t>C-333</t>
  </si>
  <si>
    <t>C-334</t>
  </si>
  <si>
    <t>C-335</t>
  </si>
  <si>
    <t>C-336</t>
  </si>
  <si>
    <t>D-998</t>
  </si>
  <si>
    <t>From 01.SE-72580 to 10.SEC-10550 total 10 wagns</t>
  </si>
  <si>
    <t>D-999</t>
  </si>
  <si>
    <t>From 01.NC-37527 to 45.SEC-79385 total 45 wagns</t>
  </si>
  <si>
    <t>From 46.SEC-10538 to 48.SC-60034 total 3 wagns</t>
  </si>
  <si>
    <t>C-337</t>
  </si>
  <si>
    <t>C-338</t>
  </si>
  <si>
    <t>C-339</t>
  </si>
  <si>
    <t>C-340</t>
  </si>
  <si>
    <t>C-341</t>
  </si>
  <si>
    <t>C-342</t>
  </si>
  <si>
    <t>KSL Laiyang</t>
  </si>
  <si>
    <t>ICLV</t>
  </si>
  <si>
    <t>D-1010</t>
  </si>
  <si>
    <t>C-343</t>
  </si>
  <si>
    <t>C-344</t>
  </si>
  <si>
    <t>C-345</t>
  </si>
  <si>
    <t>ICLS</t>
  </si>
  <si>
    <t>D-1016</t>
  </si>
  <si>
    <t>C-346</t>
  </si>
  <si>
    <t>C-347</t>
  </si>
  <si>
    <t>C-348</t>
  </si>
  <si>
    <t>MICT</t>
  </si>
  <si>
    <t>C-349</t>
  </si>
  <si>
    <t>C-350</t>
  </si>
  <si>
    <t>From 01.EC-84097 to 09.ECO-31789 total 09 wagns</t>
  </si>
  <si>
    <t>SSI Surprise</t>
  </si>
  <si>
    <t>From 10.NR-22281 to 58.SEC-56937 total 49 wagns</t>
  </si>
  <si>
    <t>C-351</t>
  </si>
  <si>
    <t>D-1027</t>
  </si>
  <si>
    <t>From 01.CR.23956 to 56.SR-10193 total 56 wagns</t>
  </si>
  <si>
    <t>57.SEC-82145 only 1 wagn</t>
  </si>
  <si>
    <t>C-352</t>
  </si>
  <si>
    <t>C-353</t>
  </si>
  <si>
    <t>C-354</t>
  </si>
  <si>
    <t>D-1032</t>
  </si>
  <si>
    <t>C-355</t>
  </si>
  <si>
    <t>C-356</t>
  </si>
  <si>
    <t>C-357</t>
  </si>
  <si>
    <t>D-1037</t>
  </si>
  <si>
    <t>C-358</t>
  </si>
  <si>
    <t>C-359</t>
  </si>
  <si>
    <t>C-360</t>
  </si>
  <si>
    <t>C-361</t>
  </si>
  <si>
    <t>C-362</t>
  </si>
  <si>
    <t>D-1042</t>
  </si>
  <si>
    <t>From 01.ER-915460 to 54.5.SE-12019 total 54.5 wagns</t>
  </si>
  <si>
    <t>From 54.5.SE-2012019 to 58.NE-611399 total 3.5 wagns</t>
  </si>
  <si>
    <t>C-363</t>
  </si>
  <si>
    <t>D-1046</t>
  </si>
  <si>
    <t>C-364</t>
  </si>
  <si>
    <t>Badger</t>
  </si>
  <si>
    <t>C-365</t>
  </si>
  <si>
    <t>C-366</t>
  </si>
  <si>
    <t>C-367</t>
  </si>
  <si>
    <t>C-368</t>
  </si>
  <si>
    <t>Reverse Formula</t>
  </si>
  <si>
    <t>POL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</si>
</sst>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 * #,##0.00_ ;_ * \-#,##0.00_ ;_ * &quot;-&quot;??_ ;_ @_ "/>
    <numFmt numFmtId="164" formatCode="0.0"/>
    <numFmt numFmtId="165" formatCode="_ * #,##0.000_ ;_ * \-#,##0.000_ ;_ * &quot;-&quot;??.0_ ;_ @_ "/>
    <numFmt numFmtId="166" formatCode="_ * #,##0_ ;_ * \-#,##0_ ;_ * &quot;-&quot;??_ ;_ @_ "/>
    <numFmt numFmtId="167" formatCode="0.000"/>
    <numFmt numFmtId="168" formatCode="_ * #,##0.0_ ;_ * \-#,##0.0_ ;_ * &quot;-&quot;??_ ;_ @_ "/>
    <numFmt numFmtId="169" formatCode="[h]:mm"/>
    <numFmt numFmtId="170" formatCode="_(* #,##0_);_(* \(#,##0\);_(* &quot;-&quot;_);_(@_)"/>
    <numFmt numFmtId="171" formatCode="_(* #,##0.000_);_(* \(#,##0.000\);_(* &quot;-&quot;???_);_(@_)"/>
    <numFmt numFmtId="172" formatCode="dd\-mmm\-yy"/>
    <numFmt numFmtId="173" formatCode="[hh]:mm"/>
    <numFmt numFmtId="174" formatCode="[$-14009]hh:mm;@"/>
    <numFmt numFmtId="175" formatCode="d\-mmm\-yy"/>
    <numFmt numFmtId="176" formatCode="_(* #,##0.00_);_(* \(#,##0.00\);_(* &quot;-&quot;???_);_(@_)"/>
    <numFmt numFmtId="177" formatCode="_(* #,##0.00_);_(* \(#,##0.00\);_(* &quot;-&quot;???.0_);_(@_)"/>
    <numFmt numFmtId="178" formatCode="_(* #,##0_);_(* \(#,##0\);_(* &quot;-&quot;???_);_(@_)"/>
    <numFmt numFmtId="179" formatCode="_(* #,##0.000_);_(* \(#,##0.000\);_(* &quot;-&quot;??_);_(@_)"/>
    <numFmt numFmtId="180" formatCode="0.0;[Red]0.0"/>
    <numFmt numFmtId="181" formatCode="_(* #,##0.0_);_(* \(#,##0.0\);_(* &quot;-&quot;_);_(@_)"/>
  </numFmts>
  <fonts count="19" x14ac:knownFonts="1">
    <font>
      <sz val="11"/>
      <color theme="1"/>
      <name val="Aptos Narrow"/>
      <family val="2"/>
      <scheme val="minor"/>
    </font>
    <font>
      <sz val="10"/>
      <name val="Calibri"/>
      <family val="2"/>
    </font>
    <font>
      <b/>
      <sz val="14"/>
      <name val="Calibri"/>
      <family val="2"/>
    </font>
    <font>
      <b/>
      <sz val="11.5"/>
      <name val="Calibri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10"/>
      <color indexed="8"/>
      <name val="Calibri"/>
      <family val="2"/>
    </font>
    <font>
      <b/>
      <sz val="10"/>
      <color indexed="9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FF0000"/>
      <name val="Calibri"/>
      <family val="2"/>
    </font>
    <font>
      <b/>
      <sz val="15"/>
      <color theme="0"/>
      <name val="Calibri"/>
      <family val="2"/>
    </font>
    <font>
      <b/>
      <sz val="12"/>
      <color indexed="8"/>
      <name val="Calibri"/>
      <family val="2"/>
    </font>
    <font>
      <b/>
      <u/>
      <sz val="16"/>
      <name val="Calibri"/>
      <family val="2"/>
    </font>
    <font>
      <u/>
      <sz val="8"/>
      <color indexed="12"/>
      <name val="Calibri"/>
      <family val="2"/>
    </font>
    <font>
      <sz val="8"/>
      <color indexed="9"/>
      <name val="Calibri"/>
      <family val="2"/>
    </font>
    <font>
      <b/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</cellStyleXfs>
  <cellXfs count="294">
    <xf numFmtId="0" fontId="0" fillId="0" borderId="0" xfId="0"/>
    <xf numFmtId="0" fontId="1" fillId="0" borderId="0" xfId="1">
      <alignment vertical="center"/>
    </xf>
    <xf numFmtId="0" fontId="1" fillId="0" borderId="0" xfId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0" borderId="1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0" xfId="1" applyFont="1">
      <alignment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0" fontId="7" fillId="2" borderId="0" xfId="1" applyFont="1" applyFill="1">
      <alignment vertical="center"/>
    </xf>
    <xf numFmtId="164" fontId="4" fillId="0" borderId="1" xfId="1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166" fontId="5" fillId="0" borderId="1" xfId="2" applyNumberFormat="1" applyFont="1" applyBorder="1" applyAlignment="1">
      <alignment vertical="center"/>
    </xf>
    <xf numFmtId="167" fontId="1" fillId="0" borderId="0" xfId="1" applyNumberFormat="1">
      <alignment vertical="center"/>
    </xf>
    <xf numFmtId="0" fontId="1" fillId="0" borderId="2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166" fontId="0" fillId="0" borderId="1" xfId="2" applyNumberFormat="1" applyFont="1" applyBorder="1" applyAlignment="1">
      <alignment vertical="center"/>
    </xf>
    <xf numFmtId="0" fontId="1" fillId="0" borderId="3" xfId="1" applyBorder="1">
      <alignment vertical="center"/>
    </xf>
    <xf numFmtId="0" fontId="8" fillId="3" borderId="1" xfId="1" applyFont="1" applyFill="1" applyBorder="1" applyAlignment="1">
      <alignment horizontal="right" vertical="center"/>
    </xf>
    <xf numFmtId="43" fontId="8" fillId="3" borderId="5" xfId="2" applyFont="1" applyFill="1" applyBorder="1" applyAlignment="1">
      <alignment vertical="center"/>
    </xf>
    <xf numFmtId="43" fontId="8" fillId="3" borderId="6" xfId="2" applyFont="1" applyFill="1" applyBorder="1" applyAlignment="1">
      <alignment vertical="center"/>
    </xf>
    <xf numFmtId="0" fontId="5" fillId="0" borderId="7" xfId="1" applyFont="1" applyBorder="1" applyAlignment="1">
      <alignment horizontal="center" vertical="center"/>
    </xf>
    <xf numFmtId="168" fontId="1" fillId="0" borderId="0" xfId="2" applyNumberFormat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center" vertical="center"/>
    </xf>
    <xf numFmtId="0" fontId="5" fillId="4" borderId="9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1" fontId="9" fillId="4" borderId="8" xfId="1" applyNumberFormat="1" applyFont="1" applyFill="1" applyBorder="1" applyAlignment="1">
      <alignment horizontal="center" vertical="center"/>
    </xf>
    <xf numFmtId="1" fontId="9" fillId="4" borderId="10" xfId="1" applyNumberFormat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164" fontId="11" fillId="3" borderId="1" xfId="1" applyNumberFormat="1" applyFont="1" applyFill="1" applyBorder="1" applyAlignment="1">
      <alignment horizontal="center" vertical="center"/>
    </xf>
    <xf numFmtId="0" fontId="8" fillId="3" borderId="9" xfId="1" applyFont="1" applyFill="1" applyBorder="1" applyAlignment="1">
      <alignment horizontal="right" vertical="center"/>
    </xf>
    <xf numFmtId="43" fontId="8" fillId="3" borderId="9" xfId="1" applyNumberFormat="1" applyFont="1" applyFill="1" applyBorder="1" applyAlignment="1">
      <alignment horizontal="left" vertical="center"/>
    </xf>
    <xf numFmtId="0" fontId="5" fillId="0" borderId="0" xfId="1" applyFont="1" applyAlignment="1">
      <alignment horizontal="center" vertical="center"/>
    </xf>
    <xf numFmtId="169" fontId="9" fillId="0" borderId="0" xfId="1" applyNumberFormat="1" applyFont="1" applyAlignment="1">
      <alignment horizontal="center" vertical="center"/>
    </xf>
    <xf numFmtId="17" fontId="1" fillId="0" borderId="0" xfId="1" applyNumberFormat="1">
      <alignment vertical="center"/>
    </xf>
    <xf numFmtId="0" fontId="8" fillId="3" borderId="0" xfId="1" applyFont="1" applyFill="1" applyAlignment="1">
      <alignment horizontal="right" vertical="center"/>
    </xf>
    <xf numFmtId="43" fontId="8" fillId="3" borderId="0" xfId="1" applyNumberFormat="1" applyFont="1" applyFill="1" applyAlignment="1">
      <alignment horizontal="left" vertical="center"/>
    </xf>
    <xf numFmtId="43" fontId="1" fillId="0" borderId="0" xfId="1" applyNumberFormat="1">
      <alignment vertical="center"/>
    </xf>
    <xf numFmtId="22" fontId="1" fillId="0" borderId="0" xfId="1" applyNumberFormat="1" applyAlignment="1">
      <alignment horizontal="center" vertical="center" wrapText="1"/>
    </xf>
    <xf numFmtId="165" fontId="1" fillId="0" borderId="0" xfId="2" applyNumberFormat="1" applyFont="1" applyBorder="1" applyAlignment="1">
      <alignment vertical="center"/>
    </xf>
    <xf numFmtId="170" fontId="1" fillId="0" borderId="0" xfId="1" applyNumberFormat="1">
      <alignment vertical="center"/>
    </xf>
    <xf numFmtId="0" fontId="6" fillId="0" borderId="8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171" fontId="1" fillId="0" borderId="0" xfId="1" applyNumberFormat="1" applyAlignment="1">
      <alignment horizontal="center" vertical="center"/>
    </xf>
    <xf numFmtId="165" fontId="0" fillId="0" borderId="0" xfId="2" applyNumberFormat="1" applyFont="1" applyFill="1" applyBorder="1" applyAlignment="1">
      <alignment vertical="center"/>
    </xf>
    <xf numFmtId="0" fontId="1" fillId="0" borderId="0" xfId="1" applyAlignment="1">
      <alignment horizontal="center" vertical="center" wrapText="1"/>
    </xf>
    <xf numFmtId="0" fontId="12" fillId="0" borderId="2" xfId="1" applyFont="1" applyBorder="1" applyAlignment="1">
      <alignment horizontal="center" vertical="center"/>
    </xf>
    <xf numFmtId="0" fontId="12" fillId="0" borderId="3" xfId="1" applyFont="1" applyBorder="1">
      <alignment vertical="center"/>
    </xf>
    <xf numFmtId="0" fontId="12" fillId="0" borderId="0" xfId="1" applyFon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43" fontId="9" fillId="0" borderId="8" xfId="2" applyFont="1" applyFill="1" applyBorder="1" applyAlignment="1">
      <alignment horizontal="center" vertical="center"/>
    </xf>
    <xf numFmtId="43" fontId="9" fillId="0" borderId="10" xfId="2" applyFont="1" applyFill="1" applyBorder="1" applyAlignment="1">
      <alignment horizontal="center" vertical="center"/>
    </xf>
    <xf numFmtId="0" fontId="13" fillId="5" borderId="0" xfId="1" applyFont="1" applyFill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1" fontId="14" fillId="0" borderId="1" xfId="1" applyNumberFormat="1" applyFont="1" applyBorder="1" applyAlignment="1">
      <alignment horizontal="center" vertical="center"/>
    </xf>
    <xf numFmtId="1" fontId="1" fillId="0" borderId="0" xfId="1" applyNumberFormat="1">
      <alignment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43" fontId="9" fillId="0" borderId="11" xfId="2" applyFont="1" applyFill="1" applyBorder="1" applyAlignment="1">
      <alignment horizontal="center" vertical="center"/>
    </xf>
    <xf numFmtId="43" fontId="9" fillId="0" borderId="12" xfId="2" applyFont="1" applyFill="1" applyBorder="1" applyAlignment="1">
      <alignment horizontal="center" vertical="center"/>
    </xf>
    <xf numFmtId="43" fontId="1" fillId="0" borderId="0" xfId="2" applyFont="1" applyBorder="1" applyAlignment="1">
      <alignment horizontal="center" vertical="center"/>
    </xf>
    <xf numFmtId="0" fontId="15" fillId="0" borderId="2" xfId="1" applyFont="1" applyBorder="1" applyAlignment="1">
      <alignment horizontal="centerContinuous" vertical="center"/>
    </xf>
    <xf numFmtId="0" fontId="15" fillId="0" borderId="4" xfId="1" applyFont="1" applyBorder="1" applyAlignment="1">
      <alignment horizontal="centerContinuous" vertical="center"/>
    </xf>
    <xf numFmtId="0" fontId="15" fillId="0" borderId="3" xfId="1" applyFont="1" applyBorder="1" applyAlignment="1">
      <alignment horizontal="centerContinuous" vertical="center"/>
    </xf>
    <xf numFmtId="0" fontId="5" fillId="0" borderId="6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quotePrefix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6" xfId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1" fillId="0" borderId="1" xfId="1" applyBorder="1" applyAlignment="1">
      <alignment vertical="center" wrapText="1"/>
    </xf>
    <xf numFmtId="0" fontId="1" fillId="0" borderId="5" xfId="1" applyBorder="1" applyAlignment="1">
      <alignment horizontal="center" vertical="center" wrapText="1"/>
    </xf>
    <xf numFmtId="172" fontId="1" fillId="0" borderId="5" xfId="1" applyNumberFormat="1" applyBorder="1" applyAlignment="1">
      <alignment horizontal="center" vertical="center" wrapText="1"/>
    </xf>
    <xf numFmtId="22" fontId="1" fillId="0" borderId="5" xfId="1" applyNumberFormat="1" applyBorder="1" applyAlignment="1">
      <alignment horizontal="center" vertical="center" wrapText="1"/>
    </xf>
    <xf numFmtId="173" fontId="1" fillId="0" borderId="5" xfId="1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43" fontId="0" fillId="0" borderId="1" xfId="2" applyFont="1" applyFill="1" applyBorder="1" applyAlignment="1">
      <alignment horizontal="center" vertical="center" wrapText="1"/>
    </xf>
    <xf numFmtId="171" fontId="1" fillId="0" borderId="1" xfId="1" applyNumberFormat="1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168" fontId="1" fillId="0" borderId="1" xfId="2" applyNumberFormat="1" applyFont="1" applyFill="1" applyBorder="1" applyAlignment="1">
      <alignment horizontal="center" vertical="center"/>
    </xf>
    <xf numFmtId="170" fontId="1" fillId="0" borderId="1" xfId="1" applyNumberFormat="1" applyBorder="1" applyAlignment="1">
      <alignment horizontal="center" vertical="center"/>
    </xf>
    <xf numFmtId="170" fontId="5" fillId="0" borderId="5" xfId="1" applyNumberFormat="1" applyFont="1" applyBorder="1" applyAlignment="1">
      <alignment horizontal="center" vertical="center"/>
    </xf>
    <xf numFmtId="0" fontId="1" fillId="0" borderId="5" xfId="2" applyNumberFormat="1" applyFont="1" applyFill="1" applyBorder="1" applyAlignment="1">
      <alignment horizontal="center" vertical="center"/>
    </xf>
    <xf numFmtId="168" fontId="1" fillId="0" borderId="5" xfId="2" applyNumberFormat="1" applyFont="1" applyFill="1" applyBorder="1" applyAlignment="1">
      <alignment horizontal="center" vertical="center"/>
    </xf>
    <xf numFmtId="168" fontId="1" fillId="6" borderId="1" xfId="2" applyNumberFormat="1" applyFont="1" applyFill="1" applyBorder="1" applyAlignment="1">
      <alignment horizontal="center" vertical="center"/>
    </xf>
    <xf numFmtId="164" fontId="1" fillId="0" borderId="1" xfId="2" applyNumberFormat="1" applyFont="1" applyFill="1" applyBorder="1" applyAlignment="1">
      <alignment horizontal="center" vertical="center"/>
    </xf>
    <xf numFmtId="170" fontId="17" fillId="3" borderId="1" xfId="3" applyNumberFormat="1" applyFont="1" applyFill="1" applyBorder="1" applyAlignment="1" applyProtection="1">
      <alignment horizontal="center" vertical="center"/>
    </xf>
    <xf numFmtId="0" fontId="5" fillId="0" borderId="1" xfId="1" applyFont="1" applyBorder="1">
      <alignment vertical="center"/>
    </xf>
    <xf numFmtId="0" fontId="1" fillId="0" borderId="1" xfId="2" applyNumberFormat="1" applyFont="1" applyFill="1" applyBorder="1" applyAlignment="1">
      <alignment horizontal="center" vertical="center"/>
    </xf>
    <xf numFmtId="0" fontId="5" fillId="0" borderId="5" xfId="1" applyFont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5" xfId="1" applyBorder="1" applyAlignment="1">
      <alignment vertical="center" wrapText="1"/>
    </xf>
    <xf numFmtId="172" fontId="1" fillId="0" borderId="1" xfId="1" applyNumberFormat="1" applyBorder="1" applyAlignment="1">
      <alignment horizontal="center" vertical="center" wrapText="1"/>
    </xf>
    <xf numFmtId="22" fontId="1" fillId="0" borderId="1" xfId="1" applyNumberFormat="1" applyBorder="1" applyAlignment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1" fillId="0" borderId="5" xfId="1" applyBorder="1" applyAlignment="1">
      <alignment horizontal="center" vertical="center" wrapText="1"/>
    </xf>
    <xf numFmtId="172" fontId="1" fillId="0" borderId="5" xfId="1" applyNumberFormat="1" applyBorder="1" applyAlignment="1">
      <alignment horizontal="center" vertical="center" wrapText="1"/>
    </xf>
    <xf numFmtId="22" fontId="1" fillId="0" borderId="5" xfId="1" applyNumberFormat="1" applyBorder="1" applyAlignment="1">
      <alignment horizontal="center" vertical="center" wrapText="1"/>
    </xf>
    <xf numFmtId="173" fontId="1" fillId="0" borderId="5" xfId="1" applyNumberFormat="1" applyBorder="1" applyAlignment="1">
      <alignment horizontal="center" vertical="center"/>
    </xf>
    <xf numFmtId="0" fontId="1" fillId="0" borderId="5" xfId="2" applyNumberFormat="1" applyFont="1" applyFill="1" applyBorder="1" applyAlignment="1">
      <alignment horizontal="center" vertical="center"/>
    </xf>
    <xf numFmtId="168" fontId="1" fillId="0" borderId="5" xfId="2" applyNumberFormat="1" applyFont="1" applyFill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6" xfId="1" applyBorder="1" applyAlignment="1">
      <alignment horizontal="center" vertical="center" wrapText="1"/>
    </xf>
    <xf numFmtId="172" fontId="1" fillId="0" borderId="6" xfId="1" applyNumberFormat="1" applyBorder="1" applyAlignment="1">
      <alignment horizontal="center" vertical="center" wrapText="1"/>
    </xf>
    <xf numFmtId="22" fontId="1" fillId="0" borderId="6" xfId="1" applyNumberFormat="1" applyBorder="1" applyAlignment="1">
      <alignment horizontal="center" vertical="center" wrapText="1"/>
    </xf>
    <xf numFmtId="173" fontId="1" fillId="0" borderId="6" xfId="1" applyNumberFormat="1" applyBorder="1" applyAlignment="1">
      <alignment horizontal="center" vertical="center"/>
    </xf>
    <xf numFmtId="0" fontId="1" fillId="0" borderId="6" xfId="2" applyNumberFormat="1" applyFont="1" applyFill="1" applyBorder="1" applyAlignment="1">
      <alignment horizontal="center" vertical="center"/>
    </xf>
    <xf numFmtId="168" fontId="1" fillId="0" borderId="6" xfId="2" applyNumberFormat="1" applyFont="1" applyFill="1" applyBorder="1" applyAlignment="1">
      <alignment horizontal="center" vertical="center"/>
    </xf>
    <xf numFmtId="0" fontId="1" fillId="7" borderId="1" xfId="2" applyNumberFormat="1" applyFont="1" applyFill="1" applyBorder="1" applyAlignment="1">
      <alignment horizontal="center" vertical="center"/>
    </xf>
    <xf numFmtId="168" fontId="1" fillId="7" borderId="1" xfId="2" applyNumberFormat="1" applyFont="1" applyFill="1" applyBorder="1" applyAlignment="1">
      <alignment horizontal="center" vertical="center"/>
    </xf>
    <xf numFmtId="164" fontId="1" fillId="0" borderId="5" xfId="2" applyNumberFormat="1" applyFont="1" applyFill="1" applyBorder="1" applyAlignment="1">
      <alignment horizontal="center" vertical="center"/>
    </xf>
    <xf numFmtId="170" fontId="1" fillId="0" borderId="5" xfId="1" applyNumberFormat="1" applyBorder="1" applyAlignment="1">
      <alignment horizontal="center" vertical="center"/>
    </xf>
    <xf numFmtId="164" fontId="1" fillId="0" borderId="6" xfId="2" applyNumberFormat="1" applyFont="1" applyFill="1" applyBorder="1" applyAlignment="1">
      <alignment horizontal="center" vertical="center"/>
    </xf>
    <xf numFmtId="170" fontId="1" fillId="0" borderId="6" xfId="1" applyNumberFormat="1" applyBorder="1" applyAlignment="1">
      <alignment horizontal="center" vertical="center"/>
    </xf>
    <xf numFmtId="0" fontId="1" fillId="0" borderId="6" xfId="1" applyBorder="1" applyAlignment="1">
      <alignment horizontal="center" vertical="center" wrapText="1"/>
    </xf>
    <xf numFmtId="20" fontId="1" fillId="0" borderId="1" xfId="1" applyNumberFormat="1" applyBorder="1" applyAlignment="1">
      <alignment horizontal="center" vertical="center"/>
    </xf>
    <xf numFmtId="170" fontId="5" fillId="0" borderId="5" xfId="1" applyNumberFormat="1" applyFont="1" applyBorder="1" applyAlignment="1">
      <alignment horizontal="center" vertical="center"/>
    </xf>
    <xf numFmtId="170" fontId="5" fillId="0" borderId="6" xfId="1" applyNumberFormat="1" applyFont="1" applyBorder="1" applyAlignment="1">
      <alignment horizontal="center" vertical="center"/>
    </xf>
    <xf numFmtId="168" fontId="1" fillId="6" borderId="5" xfId="2" applyNumberFormat="1" applyFont="1" applyFill="1" applyBorder="1" applyAlignment="1">
      <alignment horizontal="center" vertical="center"/>
    </xf>
    <xf numFmtId="164" fontId="0" fillId="0" borderId="5" xfId="2" applyNumberFormat="1" applyFont="1" applyBorder="1" applyAlignment="1">
      <alignment horizontal="center" vertical="center"/>
    </xf>
    <xf numFmtId="170" fontId="0" fillId="0" borderId="5" xfId="1" applyNumberFormat="1" applyFont="1" applyBorder="1" applyAlignment="1">
      <alignment horizontal="center" vertical="center"/>
    </xf>
    <xf numFmtId="170" fontId="17" fillId="3" borderId="5" xfId="3" applyNumberFormat="1" applyFont="1" applyFill="1" applyBorder="1" applyAlignment="1" applyProtection="1">
      <alignment horizontal="center" vertical="center"/>
    </xf>
    <xf numFmtId="168" fontId="1" fillId="6" borderId="6" xfId="2" applyNumberFormat="1" applyFont="1" applyFill="1" applyBorder="1" applyAlignment="1">
      <alignment horizontal="center" vertical="center"/>
    </xf>
    <xf numFmtId="164" fontId="0" fillId="0" borderId="6" xfId="2" applyNumberFormat="1" applyFont="1" applyBorder="1" applyAlignment="1">
      <alignment horizontal="center" vertical="center"/>
    </xf>
    <xf numFmtId="170" fontId="0" fillId="0" borderId="6" xfId="1" applyNumberFormat="1" applyFont="1" applyBorder="1" applyAlignment="1">
      <alignment horizontal="center" vertical="center"/>
    </xf>
    <xf numFmtId="170" fontId="17" fillId="3" borderId="6" xfId="3" applyNumberFormat="1" applyFont="1" applyFill="1" applyBorder="1" applyAlignment="1" applyProtection="1">
      <alignment horizontal="center" vertical="center"/>
    </xf>
    <xf numFmtId="22" fontId="0" fillId="0" borderId="1" xfId="1" applyNumberFormat="1" applyFont="1" applyBorder="1" applyAlignment="1">
      <alignment horizontal="center" vertical="center" wrapText="1"/>
    </xf>
    <xf numFmtId="0" fontId="0" fillId="0" borderId="5" xfId="1" applyFont="1" applyBorder="1" applyAlignment="1">
      <alignment horizontal="center" vertical="center"/>
    </xf>
    <xf numFmtId="174" fontId="1" fillId="0" borderId="5" xfId="1" applyNumberForma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2" fontId="1" fillId="0" borderId="6" xfId="1" applyNumberFormat="1" applyBorder="1" applyAlignment="1">
      <alignment horizontal="center" vertical="center" wrapText="1"/>
    </xf>
    <xf numFmtId="22" fontId="1" fillId="0" borderId="6" xfId="1" applyNumberFormat="1" applyBorder="1" applyAlignment="1">
      <alignment horizontal="center" vertical="center" wrapText="1"/>
    </xf>
    <xf numFmtId="0" fontId="0" fillId="0" borderId="6" xfId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0" borderId="6" xfId="1" applyFont="1" applyBorder="1" applyAlignment="1">
      <alignment horizontal="center" vertical="center"/>
    </xf>
    <xf numFmtId="0" fontId="0" fillId="0" borderId="1" xfId="1" applyFont="1" applyBorder="1" applyAlignment="1">
      <alignment vertical="center" wrapText="1"/>
    </xf>
    <xf numFmtId="0" fontId="0" fillId="0" borderId="1" xfId="2" applyNumberFormat="1" applyFont="1" applyBorder="1" applyAlignment="1">
      <alignment horizontal="center" vertical="center"/>
    </xf>
    <xf numFmtId="0" fontId="0" fillId="0" borderId="5" xfId="2" applyNumberFormat="1" applyFont="1" applyBorder="1" applyAlignment="1">
      <alignment horizontal="center" vertical="center"/>
    </xf>
    <xf numFmtId="0" fontId="0" fillId="0" borderId="6" xfId="2" applyNumberFormat="1" applyFont="1" applyBorder="1" applyAlignment="1">
      <alignment horizontal="center" vertical="center"/>
    </xf>
    <xf numFmtId="22" fontId="1" fillId="8" borderId="1" xfId="1" applyNumberFormat="1" applyFill="1" applyBorder="1" applyAlignment="1">
      <alignment horizontal="center" vertical="center" wrapText="1"/>
    </xf>
    <xf numFmtId="168" fontId="1" fillId="9" borderId="1" xfId="2" applyNumberFormat="1" applyFont="1" applyFill="1" applyBorder="1" applyAlignment="1">
      <alignment horizontal="left" vertical="center"/>
    </xf>
    <xf numFmtId="22" fontId="1" fillId="8" borderId="5" xfId="1" applyNumberFormat="1" applyFill="1" applyBorder="1" applyAlignment="1">
      <alignment horizontal="center" vertical="center" wrapText="1"/>
    </xf>
    <xf numFmtId="22" fontId="1" fillId="8" borderId="6" xfId="1" applyNumberFormat="1" applyFill="1" applyBorder="1" applyAlignment="1">
      <alignment horizontal="center" vertical="center" wrapText="1"/>
    </xf>
    <xf numFmtId="173" fontId="1" fillId="0" borderId="1" xfId="1" applyNumberFormat="1" applyBorder="1" applyAlignment="1">
      <alignment horizontal="center" vertical="center"/>
    </xf>
    <xf numFmtId="173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left" vertical="center" wrapText="1"/>
    </xf>
    <xf numFmtId="0" fontId="1" fillId="0" borderId="6" xfId="1" applyBorder="1" applyAlignment="1">
      <alignment horizontal="left" vertical="center" wrapText="1"/>
    </xf>
    <xf numFmtId="0" fontId="1" fillId="4" borderId="1" xfId="1" applyFill="1" applyBorder="1" applyAlignment="1">
      <alignment horizontal="center" vertical="center" wrapText="1"/>
    </xf>
    <xf numFmtId="0" fontId="0" fillId="0" borderId="5" xfId="2" applyNumberFormat="1" applyFont="1" applyBorder="1" applyAlignment="1">
      <alignment horizontal="center" vertical="center"/>
    </xf>
    <xf numFmtId="168" fontId="1" fillId="6" borderId="5" xfId="2" applyNumberFormat="1" applyFont="1" applyFill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20" fontId="1" fillId="0" borderId="5" xfId="1" applyNumberFormat="1" applyBorder="1" applyAlignment="1">
      <alignment horizontal="center" vertical="center" wrapText="1"/>
    </xf>
    <xf numFmtId="20" fontId="1" fillId="0" borderId="6" xfId="1" applyNumberFormat="1" applyBorder="1" applyAlignment="1">
      <alignment horizontal="center" vertical="center" wrapText="1"/>
    </xf>
    <xf numFmtId="0" fontId="0" fillId="0" borderId="2" xfId="2" applyNumberFormat="1" applyFont="1" applyBorder="1" applyAlignment="1">
      <alignment horizontal="center" vertical="center"/>
    </xf>
    <xf numFmtId="168" fontId="1" fillId="6" borderId="4" xfId="2" applyNumberFormat="1" applyFont="1" applyFill="1" applyBorder="1" applyAlignment="1">
      <alignment horizontal="center" vertical="center"/>
    </xf>
    <xf numFmtId="170" fontId="17" fillId="3" borderId="3" xfId="3" applyNumberFormat="1" applyFont="1" applyFill="1" applyBorder="1" applyAlignment="1" applyProtection="1">
      <alignment horizontal="center" vertical="center"/>
    </xf>
    <xf numFmtId="168" fontId="0" fillId="0" borderId="5" xfId="2" applyNumberFormat="1" applyFont="1" applyBorder="1" applyAlignment="1">
      <alignment horizontal="center" vertical="center"/>
    </xf>
    <xf numFmtId="45" fontId="1" fillId="0" borderId="5" xfId="1" applyNumberFormat="1" applyBorder="1" applyAlignment="1">
      <alignment horizontal="center" vertical="center" wrapText="1"/>
    </xf>
    <xf numFmtId="0" fontId="1" fillId="0" borderId="13" xfId="1" applyBorder="1" applyAlignment="1">
      <alignment horizontal="center" vertical="center"/>
    </xf>
    <xf numFmtId="168" fontId="0" fillId="0" borderId="6" xfId="2" applyNumberFormat="1" applyFont="1" applyBorder="1" applyAlignment="1">
      <alignment horizontal="center" vertical="center"/>
    </xf>
    <xf numFmtId="45" fontId="1" fillId="0" borderId="6" xfId="1" applyNumberFormat="1" applyBorder="1" applyAlignment="1">
      <alignment horizontal="center" vertical="center" wrapText="1"/>
    </xf>
    <xf numFmtId="0" fontId="0" fillId="0" borderId="5" xfId="1" applyFont="1" applyBorder="1" applyAlignment="1">
      <alignment horizontal="center" vertical="center" wrapText="1"/>
    </xf>
    <xf numFmtId="172" fontId="0" fillId="0" borderId="5" xfId="1" applyNumberFormat="1" applyFont="1" applyBorder="1" applyAlignment="1">
      <alignment horizontal="center" vertical="center" wrapText="1"/>
    </xf>
    <xf numFmtId="22" fontId="0" fillId="0" borderId="5" xfId="1" applyNumberFormat="1" applyFont="1" applyBorder="1" applyAlignment="1">
      <alignment horizontal="center" vertical="center" wrapText="1"/>
    </xf>
    <xf numFmtId="173" fontId="0" fillId="0" borderId="5" xfId="1" applyNumberFormat="1" applyFont="1" applyBorder="1" applyAlignment="1">
      <alignment horizontal="center" vertical="center"/>
    </xf>
    <xf numFmtId="0" fontId="0" fillId="0" borderId="6" xfId="1" applyFont="1" applyBorder="1" applyAlignment="1">
      <alignment horizontal="center" vertical="center" wrapText="1"/>
    </xf>
    <xf numFmtId="172" fontId="0" fillId="0" borderId="6" xfId="1" applyNumberFormat="1" applyFont="1" applyBorder="1" applyAlignment="1">
      <alignment horizontal="center" vertical="center" wrapText="1"/>
    </xf>
    <xf numFmtId="22" fontId="0" fillId="0" borderId="6" xfId="1" applyNumberFormat="1" applyFont="1" applyBorder="1" applyAlignment="1">
      <alignment horizontal="center" vertical="center" wrapText="1"/>
    </xf>
    <xf numFmtId="173" fontId="0" fillId="0" borderId="6" xfId="1" applyNumberFormat="1" applyFont="1" applyBorder="1" applyAlignment="1">
      <alignment horizontal="center" vertical="center"/>
    </xf>
    <xf numFmtId="0" fontId="1" fillId="0" borderId="13" xfId="1" applyBorder="1" applyAlignment="1">
      <alignment horizontal="center" vertical="center" wrapText="1"/>
    </xf>
    <xf numFmtId="172" fontId="1" fillId="0" borderId="13" xfId="1" applyNumberFormat="1" applyBorder="1" applyAlignment="1">
      <alignment horizontal="center" vertical="center" wrapText="1"/>
    </xf>
    <xf numFmtId="0" fontId="0" fillId="0" borderId="5" xfId="1" applyFont="1" applyBorder="1" applyAlignment="1">
      <alignment horizontal="center" vertical="center" wrapText="1"/>
    </xf>
    <xf numFmtId="0" fontId="0" fillId="0" borderId="8" xfId="1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172" fontId="0" fillId="0" borderId="1" xfId="1" applyNumberFormat="1" applyFont="1" applyBorder="1" applyAlignment="1">
      <alignment horizontal="center" vertical="center" wrapText="1"/>
    </xf>
    <xf numFmtId="22" fontId="0" fillId="0" borderId="10" xfId="1" applyNumberFormat="1" applyFont="1" applyBorder="1" applyAlignment="1">
      <alignment horizontal="center" vertical="center" wrapText="1"/>
    </xf>
    <xf numFmtId="0" fontId="0" fillId="0" borderId="11" xfId="1" applyFont="1" applyBorder="1" applyAlignment="1">
      <alignment horizontal="center" vertical="center" wrapText="1"/>
    </xf>
    <xf numFmtId="172" fontId="0" fillId="0" borderId="6" xfId="1" applyNumberFormat="1" applyFont="1" applyBorder="1" applyAlignment="1">
      <alignment horizontal="center" vertical="center" wrapText="1"/>
    </xf>
    <xf numFmtId="22" fontId="0" fillId="0" borderId="12" xfId="1" applyNumberFormat="1" applyFont="1" applyBorder="1" applyAlignment="1">
      <alignment horizontal="center" vertical="center" wrapText="1"/>
    </xf>
    <xf numFmtId="0" fontId="0" fillId="0" borderId="13" xfId="1" applyFont="1" applyBorder="1" applyAlignment="1">
      <alignment horizontal="center" vertical="center"/>
    </xf>
    <xf numFmtId="0" fontId="0" fillId="0" borderId="6" xfId="1" applyFont="1" applyBorder="1" applyAlignment="1">
      <alignment horizontal="center" vertical="center" wrapText="1"/>
    </xf>
    <xf numFmtId="22" fontId="0" fillId="0" borderId="6" xfId="1" applyNumberFormat="1" applyFont="1" applyBorder="1" applyAlignment="1">
      <alignment horizontal="center" vertical="center" wrapText="1"/>
    </xf>
    <xf numFmtId="173" fontId="0" fillId="0" borderId="1" xfId="1" applyNumberFormat="1" applyFont="1" applyBorder="1" applyAlignment="1">
      <alignment horizontal="center" vertical="center"/>
    </xf>
    <xf numFmtId="168" fontId="0" fillId="0" borderId="6" xfId="2" applyNumberFormat="1" applyFont="1" applyBorder="1" applyAlignment="1">
      <alignment horizontal="center" vertical="center"/>
    </xf>
    <xf numFmtId="0" fontId="1" fillId="0" borderId="2" xfId="1" applyBorder="1" applyAlignment="1">
      <alignment vertical="center" wrapText="1"/>
    </xf>
    <xf numFmtId="22" fontId="1" fillId="0" borderId="13" xfId="1" applyNumberFormat="1" applyBorder="1" applyAlignment="1">
      <alignment horizontal="center" vertical="center" wrapText="1"/>
    </xf>
    <xf numFmtId="43" fontId="0" fillId="0" borderId="5" xfId="2" applyFont="1" applyFill="1" applyBorder="1" applyAlignment="1">
      <alignment horizontal="center" vertical="center" wrapText="1"/>
    </xf>
    <xf numFmtId="0" fontId="1" fillId="0" borderId="1" xfId="1" applyBorder="1">
      <alignment vertical="center"/>
    </xf>
    <xf numFmtId="0" fontId="1" fillId="0" borderId="13" xfId="1" applyBorder="1" applyAlignment="1">
      <alignment horizontal="center" vertical="center"/>
    </xf>
    <xf numFmtId="0" fontId="1" fillId="0" borderId="6" xfId="1" applyBorder="1" applyAlignment="1">
      <alignment vertical="center" wrapText="1"/>
    </xf>
    <xf numFmtId="22" fontId="1" fillId="0" borderId="1" xfId="1" applyNumberFormat="1" applyBorder="1" applyAlignment="1">
      <alignment horizontal="center" vertical="center"/>
    </xf>
    <xf numFmtId="14" fontId="1" fillId="0" borderId="5" xfId="1" applyNumberFormat="1" applyBorder="1" applyAlignment="1">
      <alignment horizontal="center" vertical="center"/>
    </xf>
    <xf numFmtId="22" fontId="1" fillId="0" borderId="5" xfId="1" applyNumberFormat="1" applyBorder="1" applyAlignment="1">
      <alignment horizontal="center" vertical="center"/>
    </xf>
    <xf numFmtId="164" fontId="1" fillId="0" borderId="5" xfId="2" applyNumberFormat="1" applyFont="1" applyFill="1" applyBorder="1" applyAlignment="1">
      <alignment horizontal="center" vertical="center"/>
    </xf>
    <xf numFmtId="170" fontId="1" fillId="0" borderId="5" xfId="1" applyNumberFormat="1" applyBorder="1" applyAlignment="1">
      <alignment horizontal="center" vertical="center"/>
    </xf>
    <xf numFmtId="164" fontId="0" fillId="0" borderId="5" xfId="2" applyNumberFormat="1" applyFont="1" applyBorder="1" applyAlignment="1">
      <alignment horizontal="center" vertical="center"/>
    </xf>
    <xf numFmtId="170" fontId="0" fillId="0" borderId="5" xfId="1" applyNumberFormat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73" fontId="1" fillId="0" borderId="6" xfId="1" applyNumberFormat="1" applyBorder="1" applyAlignment="1">
      <alignment horizontal="center" vertical="center"/>
    </xf>
    <xf numFmtId="22" fontId="1" fillId="0" borderId="6" xfId="1" applyNumberFormat="1" applyBorder="1" applyAlignment="1">
      <alignment horizontal="center" vertical="center"/>
    </xf>
    <xf numFmtId="22" fontId="1" fillId="0" borderId="6" xfId="1" applyNumberFormat="1" applyBorder="1" applyAlignment="1">
      <alignment horizontal="center" vertical="center"/>
    </xf>
    <xf numFmtId="168" fontId="1" fillId="0" borderId="6" xfId="2" applyNumberFormat="1" applyFont="1" applyFill="1" applyBorder="1" applyAlignment="1">
      <alignment horizontal="center" vertical="center"/>
    </xf>
    <xf numFmtId="0" fontId="1" fillId="0" borderId="8" xfId="1" applyBorder="1" applyAlignment="1">
      <alignment horizontal="center" vertical="center" wrapText="1"/>
    </xf>
    <xf numFmtId="22" fontId="1" fillId="0" borderId="10" xfId="1" applyNumberFormat="1" applyBorder="1" applyAlignment="1">
      <alignment horizontal="center" vertical="center"/>
    </xf>
    <xf numFmtId="0" fontId="1" fillId="0" borderId="11" xfId="1" applyBorder="1" applyAlignment="1">
      <alignment horizontal="center" vertical="center" wrapText="1"/>
    </xf>
    <xf numFmtId="22" fontId="1" fillId="0" borderId="12" xfId="1" applyNumberFormat="1" applyBorder="1" applyAlignment="1">
      <alignment horizontal="center" vertical="center"/>
    </xf>
    <xf numFmtId="22" fontId="0" fillId="0" borderId="5" xfId="1" applyNumberFormat="1" applyFont="1" applyBorder="1" applyAlignment="1">
      <alignment horizontal="center" vertical="center"/>
    </xf>
    <xf numFmtId="22" fontId="0" fillId="0" borderId="6" xfId="1" applyNumberFormat="1" applyFont="1" applyBorder="1" applyAlignment="1">
      <alignment horizontal="center" vertical="center"/>
    </xf>
    <xf numFmtId="168" fontId="1" fillId="6" borderId="5" xfId="2" applyNumberFormat="1" applyFont="1" applyFill="1" applyBorder="1" applyAlignment="1">
      <alignment vertical="center"/>
    </xf>
    <xf numFmtId="168" fontId="1" fillId="6" borderId="6" xfId="2" applyNumberFormat="1" applyFont="1" applyFill="1" applyBorder="1" applyAlignment="1">
      <alignment vertical="center"/>
    </xf>
    <xf numFmtId="170" fontId="5" fillId="0" borderId="1" xfId="1" applyNumberFormat="1" applyFont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center" vertical="center"/>
    </xf>
    <xf numFmtId="168" fontId="1" fillId="0" borderId="1" xfId="2" applyNumberFormat="1" applyFont="1" applyFill="1" applyBorder="1" applyAlignment="1">
      <alignment horizontal="center" vertical="center"/>
    </xf>
    <xf numFmtId="170" fontId="5" fillId="0" borderId="6" xfId="1" applyNumberFormat="1" applyFont="1" applyBorder="1" applyAlignment="1">
      <alignment horizontal="center" vertical="center"/>
    </xf>
    <xf numFmtId="0" fontId="1" fillId="0" borderId="6" xfId="2" applyNumberFormat="1" applyFont="1" applyFill="1" applyBorder="1" applyAlignment="1">
      <alignment horizontal="center" vertical="center"/>
    </xf>
    <xf numFmtId="14" fontId="1" fillId="0" borderId="5" xfId="1" applyNumberFormat="1" applyBorder="1" applyAlignment="1">
      <alignment horizontal="center" vertical="center" wrapText="1"/>
    </xf>
    <xf numFmtId="170" fontId="5" fillId="0" borderId="1" xfId="1" applyNumberFormat="1" applyFont="1" applyBorder="1" applyAlignment="1">
      <alignment horizontal="center" vertical="center"/>
    </xf>
    <xf numFmtId="168" fontId="5" fillId="0" borderId="5" xfId="2" applyNumberFormat="1" applyFont="1" applyFill="1" applyBorder="1" applyAlignment="1">
      <alignment horizontal="center" vertical="center"/>
    </xf>
    <xf numFmtId="168" fontId="1" fillId="0" borderId="5" xfId="2" applyNumberFormat="1" applyFont="1" applyFill="1" applyBorder="1" applyAlignment="1">
      <alignment horizontal="right" vertical="center"/>
    </xf>
    <xf numFmtId="168" fontId="5" fillId="0" borderId="6" xfId="2" applyNumberFormat="1" applyFont="1" applyFill="1" applyBorder="1" applyAlignment="1">
      <alignment horizontal="center" vertical="center"/>
    </xf>
    <xf numFmtId="168" fontId="1" fillId="0" borderId="6" xfId="2" applyNumberFormat="1" applyFont="1" applyFill="1" applyBorder="1" applyAlignment="1">
      <alignment horizontal="right" vertical="center"/>
    </xf>
    <xf numFmtId="22" fontId="1" fillId="0" borderId="13" xfId="1" applyNumberFormat="1" applyBorder="1" applyAlignment="1">
      <alignment horizontal="center" vertical="center" wrapText="1"/>
    </xf>
    <xf numFmtId="173" fontId="1" fillId="0" borderId="13" xfId="1" applyNumberFormat="1" applyBorder="1" applyAlignment="1">
      <alignment horizontal="center" vertical="center"/>
    </xf>
    <xf numFmtId="0" fontId="5" fillId="0" borderId="5" xfId="2" applyNumberFormat="1" applyFont="1" applyFill="1" applyBorder="1" applyAlignment="1">
      <alignment horizontal="center" vertical="center"/>
    </xf>
    <xf numFmtId="43" fontId="1" fillId="0" borderId="5" xfId="2" applyFont="1" applyFill="1" applyBorder="1" applyAlignment="1">
      <alignment horizontal="center" vertical="center"/>
    </xf>
    <xf numFmtId="170" fontId="17" fillId="3" borderId="2" xfId="3" applyNumberFormat="1" applyFont="1" applyFill="1" applyBorder="1" applyAlignment="1" applyProtection="1">
      <alignment horizontal="center" vertical="center"/>
    </xf>
    <xf numFmtId="0" fontId="5" fillId="0" borderId="10" xfId="1" applyFont="1" applyBorder="1">
      <alignment vertical="center"/>
    </xf>
    <xf numFmtId="172" fontId="1" fillId="0" borderId="13" xfId="1" applyNumberFormat="1" applyBorder="1" applyAlignment="1">
      <alignment horizontal="center" vertical="center" wrapText="1"/>
    </xf>
    <xf numFmtId="0" fontId="1" fillId="0" borderId="13" xfId="1" applyBorder="1" applyAlignment="1">
      <alignment horizontal="center" vertical="center" wrapText="1"/>
    </xf>
    <xf numFmtId="173" fontId="0" fillId="0" borderId="13" xfId="1" applyNumberFormat="1" applyFont="1" applyBorder="1" applyAlignment="1">
      <alignment horizontal="center" vertical="center"/>
    </xf>
    <xf numFmtId="0" fontId="5" fillId="0" borderId="13" xfId="2" applyNumberFormat="1" applyFont="1" applyFill="1" applyBorder="1" applyAlignment="1">
      <alignment horizontal="center" vertical="center"/>
    </xf>
    <xf numFmtId="0" fontId="1" fillId="0" borderId="13" xfId="2" applyNumberFormat="1" applyFont="1" applyFill="1" applyBorder="1" applyAlignment="1">
      <alignment horizontal="center" vertical="center"/>
    </xf>
    <xf numFmtId="43" fontId="1" fillId="0" borderId="13" xfId="2" applyFont="1" applyFill="1" applyBorder="1" applyAlignment="1">
      <alignment horizontal="center" vertical="center"/>
    </xf>
    <xf numFmtId="164" fontId="0" fillId="0" borderId="13" xfId="2" applyNumberFormat="1" applyFont="1" applyBorder="1" applyAlignment="1">
      <alignment horizontal="center" vertical="center"/>
    </xf>
    <xf numFmtId="170" fontId="0" fillId="0" borderId="13" xfId="1" applyNumberFormat="1" applyFont="1" applyBorder="1" applyAlignment="1">
      <alignment horizontal="center" vertical="center"/>
    </xf>
    <xf numFmtId="0" fontId="5" fillId="0" borderId="6" xfId="2" applyNumberFormat="1" applyFont="1" applyFill="1" applyBorder="1" applyAlignment="1">
      <alignment horizontal="center" vertical="center"/>
    </xf>
    <xf numFmtId="43" fontId="1" fillId="0" borderId="6" xfId="2" applyFont="1" applyFill="1" applyBorder="1" applyAlignment="1">
      <alignment horizontal="center" vertical="center"/>
    </xf>
    <xf numFmtId="173" fontId="1" fillId="0" borderId="13" xfId="1" applyNumberFormat="1" applyBorder="1" applyAlignment="1">
      <alignment horizontal="center" vertical="center"/>
    </xf>
    <xf numFmtId="15" fontId="1" fillId="0" borderId="1" xfId="1" applyNumberFormat="1" applyBorder="1" applyAlignment="1">
      <alignment horizontal="center" vertical="center" wrapText="1"/>
    </xf>
    <xf numFmtId="168" fontId="1" fillId="0" borderId="5" xfId="2" applyNumberFormat="1" applyFont="1" applyFill="1" applyBorder="1" applyAlignment="1">
      <alignment vertical="center"/>
    </xf>
    <xf numFmtId="168" fontId="1" fillId="0" borderId="6" xfId="2" applyNumberFormat="1" applyFont="1" applyFill="1" applyBorder="1" applyAlignment="1">
      <alignment vertical="center"/>
    </xf>
    <xf numFmtId="168" fontId="0" fillId="6" borderId="1" xfId="2" applyNumberFormat="1" applyFont="1" applyFill="1" applyBorder="1" applyAlignment="1">
      <alignment horizontal="center" vertical="center"/>
    </xf>
    <xf numFmtId="171" fontId="1" fillId="0" borderId="3" xfId="1" applyNumberFormat="1" applyBorder="1" applyAlignment="1">
      <alignment horizontal="center" vertical="center"/>
    </xf>
    <xf numFmtId="0" fontId="1" fillId="0" borderId="5" xfId="2" applyNumberFormat="1" applyFont="1" applyFill="1" applyBorder="1" applyAlignment="1">
      <alignment horizontal="right" vertical="center"/>
    </xf>
    <xf numFmtId="168" fontId="0" fillId="6" borderId="5" xfId="2" applyNumberFormat="1" applyFont="1" applyFill="1" applyBorder="1" applyAlignment="1">
      <alignment horizontal="center" vertical="center"/>
    </xf>
    <xf numFmtId="0" fontId="1" fillId="0" borderId="6" xfId="2" applyNumberFormat="1" applyFont="1" applyFill="1" applyBorder="1" applyAlignment="1">
      <alignment horizontal="right" vertical="center"/>
    </xf>
    <xf numFmtId="168" fontId="0" fillId="6" borderId="6" xfId="2" applyNumberFormat="1" applyFont="1" applyFill="1" applyBorder="1" applyAlignment="1">
      <alignment horizontal="center" vertical="center"/>
    </xf>
    <xf numFmtId="170" fontId="5" fillId="0" borderId="13" xfId="1" applyNumberFormat="1" applyFont="1" applyBorder="1" applyAlignment="1">
      <alignment horizontal="center" vertical="center"/>
    </xf>
    <xf numFmtId="168" fontId="1" fillId="0" borderId="13" xfId="2" applyNumberFormat="1" applyFont="1" applyFill="1" applyBorder="1" applyAlignment="1">
      <alignment horizontal="center" vertical="center"/>
    </xf>
    <xf numFmtId="0" fontId="1" fillId="0" borderId="1" xfId="1" applyBorder="1" applyAlignment="1">
      <alignment horizontal="left" vertical="center" wrapText="1"/>
    </xf>
    <xf numFmtId="22" fontId="1" fillId="0" borderId="1" xfId="1" applyNumberForma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/>
    </xf>
    <xf numFmtId="14" fontId="1" fillId="0" borderId="1" xfId="1" applyNumberFormat="1" applyBorder="1">
      <alignment vertical="center"/>
    </xf>
    <xf numFmtId="175" fontId="1" fillId="0" borderId="1" xfId="1" applyNumberFormat="1" applyBorder="1">
      <alignment vertical="center"/>
    </xf>
    <xf numFmtId="22" fontId="1" fillId="0" borderId="1" xfId="1" applyNumberFormat="1" applyBorder="1">
      <alignment vertical="center"/>
    </xf>
    <xf numFmtId="173" fontId="5" fillId="0" borderId="1" xfId="1" applyNumberFormat="1" applyFont="1" applyBorder="1" applyAlignment="1">
      <alignment horizontal="center" vertical="center"/>
    </xf>
    <xf numFmtId="173" fontId="1" fillId="0" borderId="1" xfId="1" applyNumberFormat="1" applyBorder="1">
      <alignment vertical="center"/>
    </xf>
    <xf numFmtId="43" fontId="9" fillId="0" borderId="1" xfId="2" applyFont="1" applyBorder="1">
      <alignment vertical="center"/>
    </xf>
    <xf numFmtId="176" fontId="9" fillId="0" borderId="1" xfId="1" applyNumberFormat="1" applyFont="1" applyBorder="1">
      <alignment vertical="center"/>
    </xf>
    <xf numFmtId="177" fontId="9" fillId="0" borderId="1" xfId="1" applyNumberFormat="1" applyFont="1" applyBorder="1">
      <alignment vertical="center"/>
    </xf>
    <xf numFmtId="2" fontId="9" fillId="0" borderId="1" xfId="1" applyNumberFormat="1" applyFont="1" applyBorder="1" applyAlignment="1">
      <alignment horizontal="center" vertical="center"/>
    </xf>
    <xf numFmtId="168" fontId="9" fillId="0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Fill="1" applyBorder="1">
      <alignment vertical="center"/>
    </xf>
    <xf numFmtId="178" fontId="9" fillId="0" borderId="1" xfId="1" applyNumberFormat="1" applyFont="1" applyBorder="1">
      <alignment vertical="center"/>
    </xf>
    <xf numFmtId="0" fontId="9" fillId="0" borderId="1" xfId="1" applyFont="1" applyBorder="1">
      <alignment vertical="center"/>
    </xf>
    <xf numFmtId="0" fontId="9" fillId="0" borderId="1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>
      <alignment vertical="center"/>
    </xf>
    <xf numFmtId="164" fontId="9" fillId="0" borderId="1" xfId="1" applyNumberFormat="1" applyFont="1" applyBorder="1" applyAlignment="1">
      <alignment horizontal="center" vertical="center"/>
    </xf>
    <xf numFmtId="14" fontId="1" fillId="0" borderId="0" xfId="1" applyNumberFormat="1">
      <alignment vertical="center"/>
    </xf>
    <xf numFmtId="179" fontId="18" fillId="0" borderId="0" xfId="2" applyNumberFormat="1" applyFont="1" applyFill="1" applyBorder="1" applyAlignment="1">
      <alignment horizontal="center" vertical="center"/>
    </xf>
    <xf numFmtId="180" fontId="5" fillId="0" borderId="0" xfId="1" applyNumberFormat="1" applyFont="1">
      <alignment vertical="center"/>
    </xf>
    <xf numFmtId="170" fontId="5" fillId="0" borderId="0" xfId="1" applyNumberFormat="1" applyFont="1">
      <alignment vertical="center"/>
    </xf>
    <xf numFmtId="181" fontId="5" fillId="0" borderId="0" xfId="1" applyNumberFormat="1" applyFont="1">
      <alignment vertical="center"/>
    </xf>
  </cellXfs>
  <cellStyles count="4">
    <cellStyle name="Comma 8" xfId="2" xr:uid="{9CD6278C-69C3-4FAD-937B-A29399B81EC8}"/>
    <cellStyle name="Hyperlink" xfId="3" builtinId="8"/>
    <cellStyle name="Normal" xfId="0" builtinId="0"/>
    <cellStyle name="Normal 4" xfId="1" xr:uid="{D51D07A2-35DA-4040-B5E0-D4E7B9E40626}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5003-4A13-4AB4-A71E-52B5BC667572}">
  <sheetPr>
    <tabColor theme="9" tint="0.39997558519241921"/>
  </sheetPr>
  <dimension ref="A1:BO1280"/>
  <sheetViews>
    <sheetView tabSelected="1" zoomScale="86" zoomScaleNormal="86" zoomScaleSheetLayoutView="100" workbookViewId="0">
      <pane xSplit="8" ySplit="30" topLeftCell="I1270" activePane="bottomRight" state="frozen"/>
      <selection activeCell="C18" sqref="C18"/>
      <selection pane="topRight" activeCell="C18" sqref="C18"/>
      <selection pane="bottomLeft" activeCell="C18" sqref="C18"/>
      <selection pane="bottomRight" activeCell="E1270" sqref="E1270"/>
    </sheetView>
  </sheetViews>
  <sheetFormatPr defaultColWidth="9.28515625" defaultRowHeight="12.75" x14ac:dyDescent="0.25"/>
  <cols>
    <col min="1" max="2" width="5.28515625" style="1" customWidth="1"/>
    <col min="3" max="3" width="5" style="1" customWidth="1"/>
    <col min="4" max="4" width="8.42578125" style="1" customWidth="1"/>
    <col min="5" max="5" width="22.85546875" style="1" customWidth="1"/>
    <col min="6" max="6" width="16.140625" style="1" customWidth="1"/>
    <col min="7" max="8" width="10.140625" style="1" customWidth="1"/>
    <col min="9" max="9" width="9.7109375" style="1" customWidth="1"/>
    <col min="10" max="10" width="11" style="289" customWidth="1"/>
    <col min="11" max="11" width="8.42578125" style="1" customWidth="1"/>
    <col min="12" max="12" width="10.42578125" style="1" customWidth="1"/>
    <col min="13" max="13" width="13.28515625" style="1" bestFit="1" customWidth="1"/>
    <col min="14" max="14" width="16.28515625" style="1" bestFit="1" customWidth="1"/>
    <col min="15" max="16" width="13.85546875" style="1" customWidth="1"/>
    <col min="17" max="17" width="16.28515625" style="1" bestFit="1" customWidth="1"/>
    <col min="18" max="18" width="13.85546875" style="1" bestFit="1" customWidth="1"/>
    <col min="19" max="21" width="16.28515625" style="1" bestFit="1" customWidth="1"/>
    <col min="22" max="22" width="8.5703125" style="1" customWidth="1"/>
    <col min="23" max="23" width="9.28515625" style="1" customWidth="1"/>
    <col min="24" max="24" width="8" style="1" customWidth="1"/>
    <col min="25" max="25" width="6.7109375" style="1" customWidth="1"/>
    <col min="26" max="26" width="7.7109375" style="1" customWidth="1"/>
    <col min="27" max="27" width="10.140625" style="1" bestFit="1" customWidth="1"/>
    <col min="28" max="28" width="12.7109375" style="1" bestFit="1" customWidth="1"/>
    <col min="29" max="29" width="15" style="1" bestFit="1" customWidth="1"/>
    <col min="30" max="31" width="14.5703125" style="1" bestFit="1" customWidth="1"/>
    <col min="32" max="32" width="16.85546875" style="1" bestFit="1" customWidth="1"/>
    <col min="33" max="33" width="11" style="1" customWidth="1"/>
    <col min="34" max="41" width="14.28515625" style="48" customWidth="1"/>
    <col min="42" max="42" width="15.5703125" style="48" bestFit="1" customWidth="1"/>
    <col min="43" max="43" width="16.28515625" style="48" bestFit="1" customWidth="1"/>
    <col min="44" max="45" width="14.28515625" style="48" customWidth="1"/>
    <col min="46" max="46" width="12.140625" style="48" customWidth="1"/>
    <col min="47" max="49" width="9.7109375" style="48" customWidth="1"/>
    <col min="50" max="51" width="14.28515625" style="48" customWidth="1"/>
    <col min="52" max="52" width="12.7109375" style="48" customWidth="1"/>
    <col min="53" max="56" width="14" style="1" customWidth="1"/>
    <col min="57" max="57" width="7.7109375" style="48" customWidth="1"/>
    <col min="58" max="64" width="8.5703125" style="48" customWidth="1"/>
    <col min="65" max="65" width="10.28515625" style="48" customWidth="1"/>
    <col min="66" max="66" width="84.7109375" style="1" customWidth="1"/>
    <col min="67" max="16384" width="9.28515625" style="1"/>
  </cols>
  <sheetData>
    <row r="1" spans="3:66" ht="12" customHeight="1" x14ac:dyDescent="0.25">
      <c r="C1" s="1" t="s">
        <v>0</v>
      </c>
      <c r="F1" s="2"/>
      <c r="J1" s="3" t="s">
        <v>1</v>
      </c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4"/>
      <c r="BB1" s="4"/>
      <c r="BC1" s="4"/>
      <c r="BD1" s="4"/>
      <c r="BE1" s="1"/>
      <c r="BF1" s="1"/>
      <c r="BG1" s="1"/>
      <c r="BH1" s="1"/>
      <c r="BI1" s="1"/>
      <c r="BJ1" s="1"/>
      <c r="BK1" s="1"/>
      <c r="BL1" s="1"/>
      <c r="BM1" s="1"/>
    </row>
    <row r="2" spans="3:66" ht="12" customHeight="1" x14ac:dyDescent="0.25">
      <c r="C2" s="1" t="s">
        <v>2</v>
      </c>
      <c r="E2" s="5" t="s">
        <v>3</v>
      </c>
      <c r="F2" s="5"/>
      <c r="J2" s="6" t="s">
        <v>4</v>
      </c>
      <c r="K2" s="6"/>
      <c r="L2" s="7" t="s">
        <v>5</v>
      </c>
      <c r="M2" s="7" t="s">
        <v>6</v>
      </c>
      <c r="N2" s="4"/>
      <c r="O2" s="4"/>
      <c r="P2" s="4"/>
      <c r="AB2" s="8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E2" s="1"/>
      <c r="BF2" s="1"/>
      <c r="BG2" s="1"/>
      <c r="BH2" s="1"/>
      <c r="BI2" s="1"/>
      <c r="BJ2" s="1"/>
      <c r="BK2" s="1"/>
      <c r="BL2" s="1"/>
      <c r="BM2" s="1"/>
    </row>
    <row r="3" spans="3:66" ht="12" customHeight="1" x14ac:dyDescent="0.25">
      <c r="E3" s="5"/>
      <c r="F3" s="5"/>
      <c r="J3" s="9" t="s">
        <v>7</v>
      </c>
      <c r="K3" s="10"/>
      <c r="L3" s="7" t="s">
        <v>8</v>
      </c>
      <c r="M3" s="11">
        <f>COUNTIFS($F$31:$F$1275,J3,$G$31:$G$1275,L3)</f>
        <v>15</v>
      </c>
      <c r="N3" s="4"/>
      <c r="O3" s="4"/>
      <c r="P3" s="4"/>
      <c r="Z3" s="12" t="s">
        <v>9</v>
      </c>
      <c r="AA3" s="12" t="s">
        <v>10</v>
      </c>
      <c r="AB3" s="8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E3" s="1"/>
      <c r="BF3" s="1"/>
      <c r="BG3" s="1"/>
      <c r="BH3" s="1"/>
      <c r="BI3" s="1"/>
      <c r="BJ3" s="1"/>
      <c r="BK3" s="1"/>
      <c r="BL3" s="1"/>
      <c r="BM3" s="1"/>
    </row>
    <row r="4" spans="3:66" ht="12" customHeight="1" x14ac:dyDescent="0.25">
      <c r="E4" s="5"/>
      <c r="F4" s="5"/>
      <c r="J4" s="9" t="s">
        <v>11</v>
      </c>
      <c r="K4" s="10"/>
      <c r="L4" s="7" t="s">
        <v>12</v>
      </c>
      <c r="M4" s="11">
        <f>COUNTIFS($F$31:$F$1275,J4,$G$31:$G$1275,L4)</f>
        <v>8</v>
      </c>
      <c r="N4" s="4"/>
      <c r="O4" s="4"/>
      <c r="P4" s="4"/>
      <c r="Z4" s="12"/>
      <c r="AA4" s="12"/>
      <c r="AB4" s="8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E4" s="1"/>
      <c r="BF4" s="1"/>
      <c r="BG4" s="1"/>
      <c r="BH4" s="1"/>
      <c r="BI4" s="1"/>
      <c r="BJ4" s="1"/>
      <c r="BK4" s="1"/>
      <c r="BL4" s="1"/>
      <c r="BM4" s="1"/>
    </row>
    <row r="5" spans="3:66" ht="12" customHeight="1" x14ac:dyDescent="0.25">
      <c r="E5" s="5"/>
      <c r="F5" s="5"/>
      <c r="J5" s="9" t="s">
        <v>13</v>
      </c>
      <c r="K5" s="10"/>
      <c r="L5" s="7" t="s">
        <v>8</v>
      </c>
      <c r="M5" s="11">
        <f>COUNTIFS($F$31:$F$1275,J5,$G$31:$G$1275,L5)</f>
        <v>14</v>
      </c>
      <c r="N5" s="4"/>
      <c r="O5" s="4"/>
      <c r="P5" s="4"/>
      <c r="Z5" s="12"/>
      <c r="AA5" s="12"/>
      <c r="AB5" s="8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E5" s="1"/>
      <c r="BF5" s="1"/>
      <c r="BG5" s="1"/>
      <c r="BH5" s="1"/>
      <c r="BI5" s="1"/>
      <c r="BJ5" s="1"/>
      <c r="BK5" s="1"/>
      <c r="BL5" s="1"/>
      <c r="BM5" s="1"/>
    </row>
    <row r="6" spans="3:66" ht="12" customHeight="1" x14ac:dyDescent="0.25">
      <c r="E6" s="5"/>
      <c r="F6" s="5"/>
      <c r="J6" s="9" t="s">
        <v>14</v>
      </c>
      <c r="K6" s="10"/>
      <c r="L6" s="7" t="s">
        <v>15</v>
      </c>
      <c r="M6" s="13">
        <f>COUNTIFS($F$31:$F$1275,J6,$G$31:$G$1275,L6)-0.5-0.5</f>
        <v>16</v>
      </c>
      <c r="N6" s="4"/>
      <c r="O6" s="4"/>
      <c r="P6" s="4"/>
      <c r="Z6" s="12"/>
      <c r="AA6" s="12"/>
      <c r="AB6" s="8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E6" s="1"/>
      <c r="BF6" s="1"/>
      <c r="BG6" s="1"/>
      <c r="BH6" s="1"/>
      <c r="BI6" s="1"/>
      <c r="BJ6" s="1"/>
      <c r="BK6" s="1"/>
      <c r="BL6" s="1"/>
      <c r="BM6" s="1"/>
    </row>
    <row r="7" spans="3:66" ht="12" customHeight="1" x14ac:dyDescent="0.25">
      <c r="E7" s="5"/>
      <c r="F7" s="5"/>
      <c r="J7" s="9" t="s">
        <v>16</v>
      </c>
      <c r="K7" s="10"/>
      <c r="L7" s="11" t="s">
        <v>17</v>
      </c>
      <c r="M7" s="11">
        <f>COUNTIFS($F$31:$F$1275,J7,$G$31:$G$1275,L7)</f>
        <v>459</v>
      </c>
      <c r="N7" s="4"/>
      <c r="O7" s="4"/>
      <c r="P7" s="4"/>
      <c r="Q7" s="14"/>
      <c r="R7" s="14"/>
      <c r="S7" s="14"/>
      <c r="T7" s="14"/>
      <c r="U7" s="14"/>
      <c r="V7" s="15"/>
      <c r="W7" s="16" t="s">
        <v>18</v>
      </c>
      <c r="X7" s="17"/>
      <c r="Y7" s="18"/>
      <c r="Z7" s="19">
        <f>COUNTA(K31:K1275)-Z8</f>
        <v>2</v>
      </c>
      <c r="AA7" s="19">
        <f>SUM(Y31:Y1275)</f>
        <v>2692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4"/>
      <c r="BB7" s="14"/>
      <c r="BC7" s="14"/>
      <c r="BD7" s="14"/>
      <c r="BE7" s="1"/>
      <c r="BF7" s="1"/>
      <c r="BG7" s="1"/>
      <c r="BH7" s="1"/>
      <c r="BI7" s="1"/>
      <c r="BJ7" s="1"/>
      <c r="BK7" s="1"/>
      <c r="BL7" s="1"/>
      <c r="BM7" s="1"/>
      <c r="BN7" s="20"/>
    </row>
    <row r="8" spans="3:66" ht="12" customHeight="1" x14ac:dyDescent="0.25">
      <c r="E8" s="5"/>
      <c r="F8" s="5"/>
      <c r="J8" s="9" t="s">
        <v>19</v>
      </c>
      <c r="K8" s="10"/>
      <c r="L8" s="11" t="s">
        <v>17</v>
      </c>
      <c r="M8" s="11">
        <f>COUNTIFS($F$31:$F$1275,J8,$G$31:$G$1275,L8)</f>
        <v>205</v>
      </c>
      <c r="N8" s="4"/>
      <c r="O8" s="4"/>
      <c r="P8" s="4"/>
      <c r="Q8" s="14"/>
      <c r="R8" s="14"/>
      <c r="S8" s="14"/>
      <c r="T8" s="14"/>
      <c r="U8" s="14"/>
      <c r="V8" s="15"/>
      <c r="W8" s="16" t="s">
        <v>20</v>
      </c>
      <c r="X8" s="17"/>
      <c r="Y8" s="18"/>
      <c r="Z8" s="19">
        <f>COUNTIF(K31:K1275,"SP-6")+COUNTIF(K31:K1275,"SP-7")</f>
        <v>1170</v>
      </c>
      <c r="AA8" s="19">
        <f>SUM(Z31:Z1275)</f>
        <v>65272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4"/>
      <c r="BB8" s="14"/>
      <c r="BC8" s="14"/>
      <c r="BD8" s="14"/>
      <c r="BE8" s="1"/>
      <c r="BF8" s="1"/>
      <c r="BG8" s="1"/>
      <c r="BH8" s="1"/>
      <c r="BI8" s="1"/>
      <c r="BJ8" s="1"/>
      <c r="BK8" s="1"/>
      <c r="BL8" s="1"/>
      <c r="BM8" s="1"/>
      <c r="BN8" s="20"/>
    </row>
    <row r="9" spans="3:66" ht="12" customHeight="1" x14ac:dyDescent="0.25">
      <c r="E9" s="5"/>
      <c r="F9" s="5"/>
      <c r="J9" s="9" t="s">
        <v>21</v>
      </c>
      <c r="K9" s="10"/>
      <c r="L9" s="11" t="s">
        <v>8</v>
      </c>
      <c r="M9" s="11">
        <f>COUNTIFS($F$31:$F$1275,J9,$G$31:$G$1275,L9)</f>
        <v>0</v>
      </c>
      <c r="N9" s="4"/>
      <c r="O9" s="4"/>
      <c r="P9" s="4"/>
      <c r="Q9" s="14"/>
      <c r="R9" s="14"/>
      <c r="S9" s="14"/>
      <c r="T9" s="14"/>
      <c r="U9" s="14"/>
      <c r="V9" s="15"/>
      <c r="W9" s="21"/>
      <c r="X9" s="22"/>
      <c r="Y9" s="23"/>
      <c r="Z9" s="24"/>
      <c r="AA9" s="24"/>
      <c r="AC9" s="8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4"/>
      <c r="BB9" s="14"/>
      <c r="BC9" s="14"/>
      <c r="BD9" s="14"/>
      <c r="BE9" s="1"/>
      <c r="BF9" s="1"/>
      <c r="BG9" s="1"/>
      <c r="BH9" s="1"/>
      <c r="BI9" s="1"/>
      <c r="BJ9" s="1"/>
      <c r="BK9" s="1"/>
      <c r="BL9" s="1"/>
      <c r="BM9" s="1"/>
    </row>
    <row r="10" spans="3:66" ht="12" customHeight="1" x14ac:dyDescent="0.25">
      <c r="E10" s="5"/>
      <c r="F10" s="5"/>
      <c r="J10" s="9" t="s">
        <v>22</v>
      </c>
      <c r="K10" s="25"/>
      <c r="L10" s="11" t="s">
        <v>12</v>
      </c>
      <c r="M10" s="11">
        <f>COUNTIFS($F$31:$F$1275,J10,$G$31:$G$1275,L10)</f>
        <v>0</v>
      </c>
      <c r="N10" s="4"/>
      <c r="O10" s="4"/>
      <c r="P10" s="4"/>
      <c r="Q10" s="14"/>
      <c r="R10" s="14"/>
      <c r="S10" s="14"/>
      <c r="T10" s="14"/>
      <c r="U10" s="14"/>
      <c r="V10" s="15"/>
      <c r="W10" s="16" t="s">
        <v>23</v>
      </c>
      <c r="X10" s="17"/>
      <c r="Y10" s="18"/>
      <c r="Z10" s="19">
        <f>SUM(Z7:Z9)</f>
        <v>1172</v>
      </c>
      <c r="AA10" s="19">
        <f>SUM(AA7:AA9)</f>
        <v>67964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4"/>
      <c r="BB10" s="14"/>
      <c r="BC10" s="14"/>
      <c r="BD10" s="14"/>
      <c r="BE10" s="1"/>
      <c r="BF10" s="1"/>
      <c r="BG10" s="1"/>
      <c r="BH10" s="1"/>
      <c r="BI10" s="1"/>
      <c r="BJ10" s="1"/>
      <c r="BK10" s="1"/>
      <c r="BL10" s="1"/>
      <c r="BM10" s="1"/>
    </row>
    <row r="11" spans="3:66" ht="12" customHeight="1" x14ac:dyDescent="0.25">
      <c r="E11" s="26" t="s">
        <v>24</v>
      </c>
      <c r="F11" s="27">
        <f>IFERROR(AC1276,0)</f>
        <v>4464414.0520523218</v>
      </c>
      <c r="J11" s="9" t="s">
        <v>25</v>
      </c>
      <c r="K11" s="10"/>
      <c r="L11" s="11" t="s">
        <v>12</v>
      </c>
      <c r="M11" s="13">
        <f>COUNTIFS($F$31:$F$1275,J11,$G$31:$G$1275,L11)-0.5</f>
        <v>9.5</v>
      </c>
      <c r="N11" s="4"/>
      <c r="O11" s="4"/>
      <c r="P11" s="4"/>
      <c r="Q11" s="14"/>
      <c r="R11" s="14"/>
      <c r="S11" s="14"/>
      <c r="T11" s="14"/>
      <c r="U11" s="14"/>
      <c r="V11" s="15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4"/>
      <c r="BB11" s="14"/>
      <c r="BC11" s="14"/>
      <c r="BD11" s="14"/>
      <c r="BE11" s="1"/>
      <c r="BF11" s="1"/>
      <c r="BG11" s="1"/>
      <c r="BH11" s="1"/>
      <c r="BI11" s="1"/>
      <c r="BJ11" s="1"/>
      <c r="BK11" s="1"/>
      <c r="BL11" s="1"/>
      <c r="BM11" s="1"/>
    </row>
    <row r="12" spans="3:66" ht="12" customHeight="1" x14ac:dyDescent="0.25">
      <c r="E12" s="26"/>
      <c r="F12" s="28"/>
      <c r="J12" s="9" t="s">
        <v>21</v>
      </c>
      <c r="K12" s="25"/>
      <c r="L12" s="11" t="s">
        <v>8</v>
      </c>
      <c r="M12" s="11">
        <f>COUNTIFS($F$31:$F$1275,J12,$G$31:$G$1275,L12)</f>
        <v>0</v>
      </c>
      <c r="N12" s="4"/>
      <c r="O12" s="4"/>
      <c r="P12" s="4"/>
      <c r="Q12" s="14"/>
      <c r="R12" s="14"/>
      <c r="S12" s="14"/>
      <c r="T12" s="14"/>
      <c r="U12" s="14"/>
      <c r="V12" s="15"/>
      <c r="Y12" s="29"/>
      <c r="Z12" s="29"/>
      <c r="AH12" s="1"/>
      <c r="AI12" s="1"/>
      <c r="AJ12" s="1"/>
      <c r="AK12" s="1"/>
      <c r="AL12" s="1"/>
      <c r="AM12" s="1"/>
      <c r="AN12" s="1"/>
      <c r="AO12" s="1"/>
      <c r="AP12" s="30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4"/>
      <c r="BB12" s="14"/>
      <c r="BC12" s="14"/>
      <c r="BD12" s="14"/>
      <c r="BE12" s="1"/>
      <c r="BF12" s="1"/>
      <c r="BG12" s="1"/>
      <c r="BH12" s="1"/>
      <c r="BI12" s="1"/>
      <c r="BJ12" s="1"/>
      <c r="BK12" s="1"/>
      <c r="BL12" s="1"/>
      <c r="BM12" s="1"/>
    </row>
    <row r="13" spans="3:66" ht="12" customHeight="1" x14ac:dyDescent="0.25">
      <c r="E13" s="26" t="s">
        <v>26</v>
      </c>
      <c r="F13" s="27">
        <f>IFERROR(AB1276,0)</f>
        <v>184198.30794768073</v>
      </c>
      <c r="J13" s="9" t="s">
        <v>27</v>
      </c>
      <c r="K13" s="25"/>
      <c r="L13" s="11" t="s">
        <v>12</v>
      </c>
      <c r="M13" s="13">
        <f>COUNTIFS($F$31:$F$1275,J13,$G$31:$G$1275,L13)-0.5-0.5-0.5-0.5-0.5</f>
        <v>89.5</v>
      </c>
      <c r="N13" s="4"/>
      <c r="O13" s="4"/>
      <c r="P13" s="4"/>
      <c r="Q13" s="14"/>
      <c r="R13" s="14"/>
      <c r="S13" s="14"/>
      <c r="T13" s="14"/>
      <c r="U13" s="14"/>
      <c r="V13" s="15"/>
      <c r="W13" s="31" t="s">
        <v>28</v>
      </c>
      <c r="X13" s="32"/>
      <c r="Y13" s="32"/>
      <c r="Z13" s="33"/>
      <c r="AA13" s="34">
        <f>(X1276)*24</f>
        <v>45.000000016356424</v>
      </c>
      <c r="AB13" s="3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4"/>
      <c r="BB13" s="14"/>
      <c r="BC13" s="14"/>
      <c r="BD13" s="14"/>
      <c r="BE13" s="1"/>
      <c r="BF13" s="1"/>
      <c r="BG13" s="1"/>
      <c r="BH13" s="1"/>
      <c r="BI13" s="1"/>
      <c r="BJ13" s="1"/>
      <c r="BK13" s="1"/>
      <c r="BL13" s="1"/>
      <c r="BM13" s="1"/>
    </row>
    <row r="14" spans="3:66" ht="12" customHeight="1" x14ac:dyDescent="0.25">
      <c r="E14" s="26"/>
      <c r="F14" s="28"/>
      <c r="J14" s="9" t="s">
        <v>29</v>
      </c>
      <c r="K14" s="25"/>
      <c r="L14" s="11" t="s">
        <v>8</v>
      </c>
      <c r="M14" s="11">
        <f>COUNTIFS($F$31:$F$1275,J14,$G$31:$G$1275,L14)</f>
        <v>47</v>
      </c>
      <c r="N14" s="4"/>
      <c r="O14" s="4"/>
      <c r="P14" s="4"/>
      <c r="Q14" s="14"/>
      <c r="R14" s="14"/>
      <c r="S14" s="14"/>
      <c r="T14" s="14"/>
      <c r="U14" s="14"/>
      <c r="V14" s="15"/>
      <c r="W14" s="36" t="s">
        <v>30</v>
      </c>
      <c r="X14" s="36"/>
      <c r="Y14" s="36"/>
      <c r="Z14" s="36"/>
      <c r="AA14" s="37">
        <f>BM1276*24</f>
        <v>401.8333333344774</v>
      </c>
      <c r="AB14" s="3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4"/>
      <c r="BB14" s="14"/>
      <c r="BC14" s="14"/>
      <c r="BD14" s="14"/>
      <c r="BE14" s="1"/>
      <c r="BF14" s="1"/>
      <c r="BG14" s="1"/>
      <c r="BH14" s="1"/>
      <c r="BI14" s="1"/>
      <c r="BJ14" s="1"/>
      <c r="BK14" s="1"/>
      <c r="BL14" s="1"/>
      <c r="BM14" s="1"/>
    </row>
    <row r="15" spans="3:66" ht="12" customHeight="1" x14ac:dyDescent="0.25">
      <c r="E15" s="38" t="s">
        <v>23</v>
      </c>
      <c r="F15" s="39">
        <f>+F11+F13</f>
        <v>4648612.3600000022</v>
      </c>
      <c r="J15" s="9" t="s">
        <v>29</v>
      </c>
      <c r="K15" s="25"/>
      <c r="L15" s="11" t="s">
        <v>15</v>
      </c>
      <c r="M15" s="11">
        <f>COUNTIFS($F$31:$F$1275,J15,$G$31:$G$1275,L15)</f>
        <v>56</v>
      </c>
      <c r="N15" s="4"/>
      <c r="O15" s="4"/>
      <c r="P15" s="4"/>
      <c r="Q15" s="14"/>
      <c r="R15" s="14"/>
      <c r="S15" s="14"/>
      <c r="T15" s="14"/>
      <c r="U15" s="14"/>
      <c r="V15" s="15"/>
      <c r="W15" s="40"/>
      <c r="X15" s="40"/>
      <c r="Y15" s="40"/>
      <c r="Z15" s="40"/>
      <c r="AA15" s="41"/>
      <c r="AB15" s="4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4"/>
      <c r="BB15" s="14"/>
      <c r="BC15" s="14"/>
      <c r="BD15" s="14"/>
      <c r="BE15" s="1"/>
      <c r="BF15" s="42"/>
      <c r="BG15" s="1"/>
      <c r="BH15" s="1"/>
      <c r="BI15" s="1"/>
      <c r="BJ15" s="1"/>
      <c r="BK15" s="1"/>
      <c r="BL15" s="1"/>
      <c r="BM15" s="1"/>
    </row>
    <row r="16" spans="3:66" ht="12" customHeight="1" x14ac:dyDescent="0.25">
      <c r="E16" s="43"/>
      <c r="F16" s="44"/>
      <c r="G16" s="45">
        <f>$AD$1276-$F$15</f>
        <v>0</v>
      </c>
      <c r="H16" s="45">
        <f>AD1276-F15</f>
        <v>0</v>
      </c>
      <c r="J16" s="9" t="s">
        <v>31</v>
      </c>
      <c r="K16" s="25"/>
      <c r="L16" s="11" t="s">
        <v>17</v>
      </c>
      <c r="M16" s="11">
        <f>COUNTIFS($F$31:$F$1275,J16,$G$31:$G$1275,L16)</f>
        <v>0</v>
      </c>
      <c r="N16" s="4"/>
      <c r="O16" s="4"/>
      <c r="P16" s="4"/>
      <c r="Q16" s="14"/>
      <c r="R16" s="46"/>
      <c r="S16" s="47"/>
      <c r="T16" s="14"/>
      <c r="U16" s="14"/>
      <c r="V16" s="1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4"/>
      <c r="BB16" s="14"/>
      <c r="BC16" s="14"/>
      <c r="BD16" s="14"/>
      <c r="BE16" s="1"/>
      <c r="BL16" s="1"/>
      <c r="BM16" s="1"/>
    </row>
    <row r="17" spans="1:66" ht="12" customHeight="1" x14ac:dyDescent="0.25">
      <c r="A17" s="45"/>
      <c r="B17" s="45"/>
      <c r="C17" s="45"/>
      <c r="D17" s="45"/>
      <c r="E17" s="45"/>
      <c r="F17" s="45"/>
      <c r="G17" s="45"/>
      <c r="H17" s="45"/>
      <c r="J17" s="49" t="s">
        <v>32</v>
      </c>
      <c r="K17" s="50"/>
      <c r="L17" s="11" t="s">
        <v>15</v>
      </c>
      <c r="M17" s="13">
        <f>COUNTIFS($F$31:$F$1275,J17,$G$31:$G$1275,L17)-0.5-0.5</f>
        <v>105</v>
      </c>
      <c r="N17" s="4"/>
      <c r="O17" s="4"/>
      <c r="P17" s="4"/>
      <c r="Q17" s="14"/>
      <c r="R17" s="14"/>
      <c r="S17" s="14"/>
      <c r="T17" s="14"/>
      <c r="U17" s="14"/>
      <c r="V17" s="15"/>
      <c r="W17" s="1" t="s">
        <v>33</v>
      </c>
      <c r="X17" s="1">
        <f>COUNTIF($AT$31:$AT$1275,W17)</f>
        <v>987</v>
      </c>
      <c r="Y17" s="1">
        <f>X17+X18</f>
        <v>1182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4"/>
      <c r="BB17" s="14"/>
      <c r="BC17" s="14"/>
      <c r="BD17" s="14"/>
      <c r="BE17" s="1"/>
      <c r="BL17" s="1"/>
      <c r="BM17" s="1"/>
    </row>
    <row r="18" spans="1:66" ht="12" customHeight="1" x14ac:dyDescent="0.25">
      <c r="A18" s="45"/>
      <c r="B18" s="45"/>
      <c r="C18" s="45"/>
      <c r="D18" s="45"/>
      <c r="E18" s="45"/>
      <c r="F18" s="45"/>
      <c r="G18" s="45"/>
      <c r="H18" s="45"/>
      <c r="J18" s="51"/>
      <c r="K18" s="52"/>
      <c r="L18" s="11" t="s">
        <v>8</v>
      </c>
      <c r="M18" s="11">
        <f>COUNTIFS($F$31:$F$1275,J17,$G$31:$G$1275,L18)</f>
        <v>88</v>
      </c>
      <c r="N18" s="4"/>
      <c r="O18" s="4"/>
      <c r="P18" s="4"/>
      <c r="Q18" s="14"/>
      <c r="R18" s="14"/>
      <c r="S18" s="14"/>
      <c r="T18" s="14"/>
      <c r="U18" s="14"/>
      <c r="V18" s="15"/>
      <c r="W18" s="1" t="s">
        <v>34</v>
      </c>
      <c r="X18" s="1">
        <f>COUNTIF($AT$31:$AT$1275,W18)</f>
        <v>195</v>
      </c>
      <c r="Y18" s="1">
        <f>X18+X19</f>
        <v>197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4"/>
      <c r="BB18" s="14"/>
      <c r="BC18" s="14"/>
      <c r="BD18" s="14"/>
      <c r="BE18" s="1"/>
      <c r="BL18" s="1"/>
      <c r="BM18" s="1"/>
    </row>
    <row r="19" spans="1:66" ht="12" customHeight="1" x14ac:dyDescent="0.25">
      <c r="A19" s="45"/>
      <c r="B19" s="45"/>
      <c r="C19" s="45"/>
      <c r="D19" s="45"/>
      <c r="E19" s="45"/>
      <c r="F19" s="45" t="s">
        <v>0</v>
      </c>
      <c r="G19" s="45"/>
      <c r="H19" s="45"/>
      <c r="J19" s="9" t="s">
        <v>35</v>
      </c>
      <c r="K19" s="25"/>
      <c r="L19" s="11" t="s">
        <v>8</v>
      </c>
      <c r="M19" s="11">
        <f>COUNTIFS($F$31:$F$1275,J19,$G$31:$G$1275,L19)</f>
        <v>0</v>
      </c>
      <c r="N19" s="4"/>
      <c r="O19" s="4"/>
      <c r="P19" s="4"/>
      <c r="Q19" s="14"/>
      <c r="R19" s="14"/>
      <c r="S19" s="14"/>
      <c r="T19" s="14"/>
      <c r="U19" s="14"/>
      <c r="V19" s="15"/>
      <c r="W19" s="1" t="s">
        <v>36</v>
      </c>
      <c r="X19" s="1">
        <f>COUNTIF($AT$31:$AT$1275,W19)</f>
        <v>2</v>
      </c>
      <c r="Y19" s="1">
        <f>X19+X20</f>
        <v>1186</v>
      </c>
      <c r="AE19" s="5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4"/>
      <c r="BB19" s="14"/>
      <c r="BC19" s="14"/>
      <c r="BD19" s="14"/>
      <c r="BE19" s="1"/>
      <c r="BL19" s="1"/>
      <c r="BM19" s="1"/>
    </row>
    <row r="20" spans="1:66" ht="12" customHeight="1" x14ac:dyDescent="0.25">
      <c r="A20" s="45"/>
      <c r="B20" s="45"/>
      <c r="C20" s="45"/>
      <c r="D20" s="45"/>
      <c r="E20" s="45"/>
      <c r="F20" s="45"/>
      <c r="G20" s="45"/>
      <c r="H20" s="45"/>
      <c r="J20" s="9" t="s">
        <v>37</v>
      </c>
      <c r="K20" s="25"/>
      <c r="L20" s="11" t="s">
        <v>8</v>
      </c>
      <c r="M20" s="11">
        <f>COUNTIFS($F$31:$F$1275,J20,$G$31:$G$1275,L20)</f>
        <v>19</v>
      </c>
      <c r="N20" s="4"/>
      <c r="O20" s="4"/>
      <c r="P20" s="4"/>
      <c r="Q20" s="47"/>
      <c r="R20" s="54"/>
      <c r="S20" s="14"/>
      <c r="T20" s="14"/>
      <c r="U20" s="47"/>
      <c r="V20" s="15"/>
      <c r="X20" s="1">
        <f>SUM(X17:X19)</f>
        <v>1184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4"/>
      <c r="BB20" s="14"/>
      <c r="BC20" s="14"/>
      <c r="BD20" s="14"/>
      <c r="BE20" s="1"/>
      <c r="BL20" s="1"/>
      <c r="BM20" s="1"/>
    </row>
    <row r="21" spans="1:66" ht="12" customHeight="1" x14ac:dyDescent="0.25">
      <c r="A21" s="45"/>
      <c r="B21" s="45"/>
      <c r="C21" s="45"/>
      <c r="D21" s="45"/>
      <c r="E21" s="45"/>
      <c r="F21" s="45"/>
      <c r="G21" s="45"/>
      <c r="H21" s="45"/>
      <c r="J21" s="9" t="s">
        <v>38</v>
      </c>
      <c r="K21" s="25"/>
      <c r="L21" s="11" t="s">
        <v>15</v>
      </c>
      <c r="M21" s="11">
        <f>COUNTIFS($F$31:$F$1275,J21,$G$31:$G$1275,L21)</f>
        <v>3</v>
      </c>
      <c r="N21" s="4"/>
      <c r="O21" s="4"/>
      <c r="P21" s="4"/>
      <c r="Q21" s="47"/>
      <c r="R21" s="54"/>
      <c r="S21" s="14"/>
      <c r="T21" s="14"/>
      <c r="U21" s="47"/>
      <c r="V21" s="1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4"/>
      <c r="BB21" s="14"/>
      <c r="BC21" s="14"/>
      <c r="BD21" s="14"/>
      <c r="BE21" s="1"/>
      <c r="BL21" s="1"/>
      <c r="BM21" s="1"/>
    </row>
    <row r="22" spans="1:66" ht="12" customHeight="1" x14ac:dyDescent="0.25">
      <c r="A22" s="45"/>
      <c r="B22" s="45"/>
      <c r="C22" s="45"/>
      <c r="D22" s="45"/>
      <c r="E22" s="45"/>
      <c r="F22" s="45"/>
      <c r="G22" s="45"/>
      <c r="H22" s="45"/>
      <c r="J22" s="9" t="s">
        <v>39</v>
      </c>
      <c r="K22" s="25"/>
      <c r="L22" s="11" t="s">
        <v>12</v>
      </c>
      <c r="M22" s="11">
        <f>COUNTIFS($F$31:$F$1275,J22,$G$31:$G$1275,L22)</f>
        <v>8</v>
      </c>
      <c r="N22" s="4"/>
      <c r="O22" s="55"/>
      <c r="P22" s="4"/>
      <c r="Q22" s="14"/>
      <c r="R22" s="14"/>
      <c r="S22" s="14"/>
      <c r="T22" s="14"/>
      <c r="U22" s="14"/>
      <c r="V22" s="15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4"/>
      <c r="BB22" s="14"/>
      <c r="BC22" s="14"/>
      <c r="BD22" s="14"/>
      <c r="BE22" s="1"/>
      <c r="BF22" s="1"/>
      <c r="BG22" s="1"/>
      <c r="BH22" s="1"/>
      <c r="BI22" s="1"/>
      <c r="BJ22" s="1"/>
      <c r="BK22" s="1"/>
      <c r="BL22" s="1"/>
      <c r="BM22" s="1"/>
    </row>
    <row r="23" spans="1:66" ht="12" customHeight="1" x14ac:dyDescent="0.25">
      <c r="A23" s="45"/>
      <c r="B23" s="45"/>
      <c r="C23" s="45"/>
      <c r="D23" s="45"/>
      <c r="E23" s="45"/>
      <c r="F23" s="45"/>
      <c r="G23" s="45"/>
      <c r="H23" s="45"/>
      <c r="J23" s="56" t="s">
        <v>40</v>
      </c>
      <c r="K23" s="57"/>
      <c r="L23" s="11" t="s">
        <v>17</v>
      </c>
      <c r="M23" s="11">
        <f>COUNTIFS($F$31:$F$1275,J23,$G$31:$G$1275,L23)</f>
        <v>0</v>
      </c>
      <c r="N23" s="58"/>
      <c r="O23" s="58"/>
      <c r="P23" s="59"/>
      <c r="Q23" s="14"/>
      <c r="R23" s="14"/>
      <c r="S23" s="14"/>
      <c r="T23" s="14"/>
      <c r="U23" s="14"/>
      <c r="V23" s="15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4"/>
      <c r="BB23" s="14"/>
      <c r="BC23" s="14"/>
      <c r="BD23" s="14"/>
      <c r="BE23" s="1"/>
      <c r="BF23" s="1"/>
      <c r="BG23" s="1"/>
      <c r="BH23" s="1"/>
      <c r="BI23" s="1"/>
      <c r="BJ23" s="1"/>
      <c r="BK23" s="1"/>
      <c r="BL23" s="1"/>
      <c r="BM23" s="1"/>
    </row>
    <row r="24" spans="1:66" ht="12" customHeight="1" x14ac:dyDescent="0.25">
      <c r="A24" s="45"/>
      <c r="B24" s="45"/>
      <c r="C24" s="45"/>
      <c r="D24" s="45"/>
      <c r="E24" s="45"/>
      <c r="F24" s="45"/>
      <c r="G24" s="45"/>
      <c r="H24" s="45"/>
      <c r="J24" s="56" t="s">
        <v>41</v>
      </c>
      <c r="K24" s="60"/>
      <c r="L24" s="61" t="s">
        <v>12</v>
      </c>
      <c r="M24" s="13">
        <f>COUNTIFS($F$31:$F$1275,J24,$G$31:$G$1275,L24)-0.5-0.5-0.5-0.5</f>
        <v>25</v>
      </c>
      <c r="N24" s="58"/>
      <c r="O24" s="58"/>
      <c r="P24" s="58"/>
      <c r="Q24" s="14"/>
      <c r="R24" s="14"/>
      <c r="S24" s="14"/>
      <c r="T24" s="14"/>
      <c r="U24" s="14"/>
      <c r="V24" s="15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4"/>
      <c r="BB24" s="14"/>
      <c r="BC24" s="14"/>
      <c r="BD24" s="14"/>
      <c r="BE24" s="1"/>
      <c r="BF24" s="1"/>
      <c r="BG24" s="1"/>
      <c r="BH24" s="1"/>
      <c r="BI24" s="1"/>
      <c r="BJ24" s="1"/>
      <c r="BK24" s="1"/>
      <c r="BL24" s="1"/>
      <c r="BM24" s="1"/>
    </row>
    <row r="25" spans="1:66" ht="12" customHeight="1" x14ac:dyDescent="0.25">
      <c r="F25" s="2"/>
      <c r="J25" s="62"/>
      <c r="K25" s="63"/>
      <c r="L25" s="11"/>
      <c r="M25" s="11">
        <f>COUNTIFS($F$31:$F$1275,J22,$G$31:$G$1275,L25)</f>
        <v>0</v>
      </c>
      <c r="N25" s="4"/>
      <c r="O25" s="4"/>
      <c r="P25" s="4"/>
      <c r="Q25" s="14"/>
      <c r="R25" s="14"/>
      <c r="S25" s="14"/>
      <c r="T25" s="14"/>
      <c r="U25" s="14"/>
      <c r="V25" s="15"/>
      <c r="W25" s="64" t="s">
        <v>42</v>
      </c>
      <c r="X25" s="65"/>
      <c r="Y25" s="65"/>
      <c r="Z25" s="66"/>
      <c r="AA25" s="67">
        <f>+AD1276-AB1276-AC1276</f>
        <v>0</v>
      </c>
      <c r="AB25" s="68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4"/>
      <c r="BB25" s="14"/>
      <c r="BC25" s="14"/>
      <c r="BD25" s="14"/>
      <c r="BE25" s="1"/>
      <c r="BF25" s="1"/>
      <c r="BG25" s="1"/>
      <c r="BH25" s="1"/>
      <c r="BI25" s="1"/>
      <c r="BJ25" s="1"/>
      <c r="BK25" s="1"/>
      <c r="BL25" s="1"/>
      <c r="BM25" s="1"/>
    </row>
    <row r="26" spans="1:66" ht="12" customHeight="1" x14ac:dyDescent="0.25">
      <c r="E26" s="69" t="s">
        <v>43</v>
      </c>
      <c r="F26" s="2"/>
      <c r="J26" s="70" t="s">
        <v>44</v>
      </c>
      <c r="K26" s="71"/>
      <c r="L26" s="72"/>
      <c r="M26" s="72">
        <f>SUM(M3:M25)</f>
        <v>1167</v>
      </c>
      <c r="N26" s="73"/>
      <c r="O26" s="73"/>
      <c r="Q26" s="14"/>
      <c r="R26" s="14"/>
      <c r="S26" s="14"/>
      <c r="T26" s="14"/>
      <c r="U26" s="14"/>
      <c r="V26" s="15"/>
      <c r="W26" s="74"/>
      <c r="X26" s="29"/>
      <c r="Y26" s="29"/>
      <c r="Z26" s="75"/>
      <c r="AA26" s="76"/>
      <c r="AB26" s="77"/>
      <c r="AC26" s="41"/>
      <c r="AD26" s="4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4"/>
      <c r="BB26" s="14"/>
      <c r="BC26" s="14"/>
      <c r="BD26" s="14"/>
      <c r="BE26" s="1"/>
      <c r="BF26" s="1"/>
      <c r="BG26" s="1"/>
      <c r="BH26" s="1"/>
      <c r="BI26" s="1"/>
      <c r="BJ26" s="1"/>
      <c r="BK26" s="1"/>
      <c r="BL26" s="1"/>
      <c r="BM26" s="1"/>
    </row>
    <row r="27" spans="1:66" x14ac:dyDescent="0.25">
      <c r="E27" s="69"/>
      <c r="F27" s="2"/>
      <c r="J27" s="1"/>
      <c r="M27" s="78">
        <f>COUNTA(F31:F1275)-M26-0.5-0.5-0.5-0.5-0.5-0.5-0.5-0.5-0.5-0.5-0.5-0.5-0.5-0.5</f>
        <v>0</v>
      </c>
      <c r="O27" s="4"/>
      <c r="P27" s="4"/>
      <c r="Q27" s="4"/>
      <c r="R27" s="4"/>
      <c r="S27" s="4"/>
      <c r="T27" s="4"/>
      <c r="U27" s="4"/>
      <c r="V27" s="4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4"/>
      <c r="BB27" s="4"/>
      <c r="BC27" s="4"/>
      <c r="BD27" s="4"/>
      <c r="BE27" s="1"/>
      <c r="BF27" s="1"/>
      <c r="BG27" s="1"/>
      <c r="BH27" s="1"/>
      <c r="BI27" s="1"/>
      <c r="BJ27" s="1"/>
      <c r="BK27" s="1"/>
      <c r="BL27" s="1"/>
      <c r="BM27" s="1"/>
    </row>
    <row r="28" spans="1:66" ht="21" x14ac:dyDescent="0.25">
      <c r="A28" s="79" t="s">
        <v>45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1"/>
    </row>
    <row r="29" spans="1:66" s="8" customFormat="1" ht="12.75" customHeight="1" x14ac:dyDescent="0.25">
      <c r="A29" s="82"/>
      <c r="B29" s="82"/>
      <c r="C29" s="82"/>
      <c r="D29" s="83"/>
      <c r="E29" s="82"/>
      <c r="F29" s="84"/>
      <c r="G29" s="85"/>
      <c r="H29" s="82"/>
      <c r="I29" s="86" t="s">
        <v>46</v>
      </c>
      <c r="J29" s="86"/>
      <c r="K29" s="82"/>
      <c r="L29" s="82"/>
      <c r="M29" s="82"/>
      <c r="N29" s="86" t="s">
        <v>47</v>
      </c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 t="s">
        <v>48</v>
      </c>
      <c r="Z29" s="86"/>
      <c r="AA29" s="86"/>
      <c r="AB29" s="86" t="s">
        <v>49</v>
      </c>
      <c r="AC29" s="86"/>
      <c r="AD29" s="87"/>
      <c r="AE29" s="86" t="s">
        <v>50</v>
      </c>
      <c r="AF29" s="86" t="s">
        <v>51</v>
      </c>
      <c r="AG29" s="86" t="s">
        <v>52</v>
      </c>
      <c r="AH29" s="86" t="s">
        <v>53</v>
      </c>
      <c r="AI29" s="86" t="s">
        <v>54</v>
      </c>
      <c r="AJ29" s="86" t="s">
        <v>55</v>
      </c>
      <c r="AK29" s="86" t="s">
        <v>56</v>
      </c>
      <c r="AL29" s="86" t="s">
        <v>57</v>
      </c>
      <c r="AM29" s="86" t="s">
        <v>58</v>
      </c>
      <c r="AN29" s="86" t="s">
        <v>59</v>
      </c>
      <c r="AO29" s="86" t="s">
        <v>60</v>
      </c>
      <c r="AP29" s="86" t="s">
        <v>61</v>
      </c>
      <c r="AQ29" s="86" t="s">
        <v>62</v>
      </c>
      <c r="AR29" s="86" t="s">
        <v>63</v>
      </c>
      <c r="AS29" s="86" t="s">
        <v>64</v>
      </c>
      <c r="AT29" s="86" t="s">
        <v>65</v>
      </c>
      <c r="AU29" s="86" t="s">
        <v>66</v>
      </c>
      <c r="AV29" s="86" t="s">
        <v>67</v>
      </c>
      <c r="AW29" s="86" t="s">
        <v>68</v>
      </c>
      <c r="AX29" s="86" t="s">
        <v>69</v>
      </c>
      <c r="AY29" s="86" t="s">
        <v>70</v>
      </c>
      <c r="AZ29" s="86" t="s">
        <v>71</v>
      </c>
      <c r="BA29" s="86" t="s">
        <v>72</v>
      </c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 t="s">
        <v>73</v>
      </c>
    </row>
    <row r="30" spans="1:66" s="8" customFormat="1" ht="30.75" customHeight="1" x14ac:dyDescent="0.25">
      <c r="A30" s="82" t="s">
        <v>74</v>
      </c>
      <c r="B30" s="82" t="s">
        <v>75</v>
      </c>
      <c r="C30" s="82" t="s">
        <v>76</v>
      </c>
      <c r="D30" s="83" t="s">
        <v>77</v>
      </c>
      <c r="E30" s="82" t="s">
        <v>78</v>
      </c>
      <c r="F30" s="84" t="s">
        <v>79</v>
      </c>
      <c r="G30" s="85" t="s">
        <v>80</v>
      </c>
      <c r="H30" s="82" t="s">
        <v>81</v>
      </c>
      <c r="I30" s="83" t="s">
        <v>82</v>
      </c>
      <c r="J30" s="83" t="s">
        <v>83</v>
      </c>
      <c r="K30" s="82" t="s">
        <v>84</v>
      </c>
      <c r="L30" s="82" t="s">
        <v>85</v>
      </c>
      <c r="M30" s="82" t="s">
        <v>86</v>
      </c>
      <c r="N30" s="83" t="s">
        <v>87</v>
      </c>
      <c r="O30" s="83" t="s">
        <v>88</v>
      </c>
      <c r="P30" s="83" t="s">
        <v>89</v>
      </c>
      <c r="Q30" s="83" t="s">
        <v>90</v>
      </c>
      <c r="R30" s="83" t="s">
        <v>91</v>
      </c>
      <c r="S30" s="83" t="s">
        <v>92</v>
      </c>
      <c r="T30" s="83" t="s">
        <v>93</v>
      </c>
      <c r="U30" s="83" t="s">
        <v>94</v>
      </c>
      <c r="V30" s="83" t="s">
        <v>95</v>
      </c>
      <c r="W30" s="83" t="s">
        <v>96</v>
      </c>
      <c r="X30" s="83" t="s">
        <v>97</v>
      </c>
      <c r="Y30" s="83" t="s">
        <v>98</v>
      </c>
      <c r="Z30" s="83" t="s">
        <v>99</v>
      </c>
      <c r="AA30" s="83" t="s">
        <v>23</v>
      </c>
      <c r="AB30" s="83" t="s">
        <v>18</v>
      </c>
      <c r="AC30" s="83" t="s">
        <v>100</v>
      </c>
      <c r="AD30" s="83" t="s">
        <v>23</v>
      </c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9"/>
      <c r="AY30" s="88"/>
      <c r="AZ30" s="88"/>
      <c r="BA30" s="83" t="s">
        <v>101</v>
      </c>
      <c r="BB30" s="83" t="s">
        <v>102</v>
      </c>
      <c r="BC30" s="83" t="s">
        <v>103</v>
      </c>
      <c r="BD30" s="83" t="s">
        <v>104</v>
      </c>
      <c r="BE30" s="83" t="s">
        <v>105</v>
      </c>
      <c r="BF30" s="83" t="s">
        <v>106</v>
      </c>
      <c r="BG30" s="83" t="s">
        <v>107</v>
      </c>
      <c r="BH30" s="83" t="s">
        <v>108</v>
      </c>
      <c r="BI30" s="83" t="s">
        <v>109</v>
      </c>
      <c r="BJ30" s="83" t="s">
        <v>110</v>
      </c>
      <c r="BK30" s="83" t="s">
        <v>111</v>
      </c>
      <c r="BL30" s="83" t="s">
        <v>112</v>
      </c>
      <c r="BM30" s="83" t="s">
        <v>97</v>
      </c>
      <c r="BN30" s="88"/>
    </row>
    <row r="31" spans="1:66" s="8" customFormat="1" ht="12.75" customHeight="1" x14ac:dyDescent="0.25">
      <c r="A31" s="90">
        <v>1</v>
      </c>
      <c r="B31" s="90">
        <v>1</v>
      </c>
      <c r="C31" s="90">
        <v>1</v>
      </c>
      <c r="D31" s="90" t="s">
        <v>113</v>
      </c>
      <c r="E31" s="91" t="s">
        <v>114</v>
      </c>
      <c r="F31" s="90" t="s">
        <v>39</v>
      </c>
      <c r="G31" s="90" t="s">
        <v>12</v>
      </c>
      <c r="H31" s="90" t="s">
        <v>115</v>
      </c>
      <c r="I31" s="92" t="s">
        <v>116</v>
      </c>
      <c r="J31" s="93">
        <v>45383</v>
      </c>
      <c r="K31" s="92" t="s">
        <v>117</v>
      </c>
      <c r="L31" s="92">
        <v>282000883</v>
      </c>
      <c r="M31" s="93">
        <v>45384</v>
      </c>
      <c r="N31" s="94">
        <v>45383.472222222219</v>
      </c>
      <c r="O31" s="94">
        <v>45383.472222222219</v>
      </c>
      <c r="P31" s="94">
        <v>45383.475694444445</v>
      </c>
      <c r="Q31" s="94">
        <v>45383.645833333336</v>
      </c>
      <c r="R31" s="94" t="s">
        <v>118</v>
      </c>
      <c r="S31" s="94" t="s">
        <v>118</v>
      </c>
      <c r="T31" s="94">
        <v>45383.652777777781</v>
      </c>
      <c r="U31" s="94">
        <v>45383.739583333336</v>
      </c>
      <c r="V31" s="95">
        <f t="shared" ref="V31:V49" si="0">+Q31-N31</f>
        <v>0.17361111111677019</v>
      </c>
      <c r="W31" s="95">
        <v>0.20833333333333334</v>
      </c>
      <c r="X31" s="95" t="str">
        <f t="shared" ref="X31:X49" si="1">IF(VALUE(V31)&lt;=VALUE("05:00"),"00:00",VALUE(V31)-VALUE("05:00"))</f>
        <v>00:00</v>
      </c>
      <c r="Y31" s="96">
        <v>0</v>
      </c>
      <c r="Z31" s="96">
        <v>59</v>
      </c>
      <c r="AA31" s="96">
        <f t="shared" ref="AA31:AA94" si="2">+Y31+Z31</f>
        <v>59</v>
      </c>
      <c r="AB31" s="97">
        <f t="shared" ref="AB31:AB94" si="3">+AD31/AA31*Y31</f>
        <v>0</v>
      </c>
      <c r="AC31" s="97">
        <f t="shared" ref="AC31:AC94" si="4">+AD31/AA31*Z31</f>
        <v>4002.67</v>
      </c>
      <c r="AD31" s="98">
        <v>4002.67</v>
      </c>
      <c r="AE31" s="98">
        <v>4098.5</v>
      </c>
      <c r="AF31" s="98">
        <v>4101.6000000000004</v>
      </c>
      <c r="AG31" s="98">
        <f t="shared" ref="AG31:AG94" si="5">+AF31-AD31</f>
        <v>98.930000000000291</v>
      </c>
      <c r="AH31" s="99">
        <v>1586.7</v>
      </c>
      <c r="AI31" s="100">
        <f t="shared" ref="AI31:AI94" si="6">+AF31*AH31</f>
        <v>6508008.7200000007</v>
      </c>
      <c r="AJ31" s="100">
        <f t="shared" ref="AJ31:AJ42" si="7">(0*AH31)*2</f>
        <v>0</v>
      </c>
      <c r="AK31" s="100">
        <v>0</v>
      </c>
      <c r="AL31" s="100">
        <v>24290</v>
      </c>
      <c r="AM31" s="100">
        <v>0</v>
      </c>
      <c r="AN31" s="100">
        <v>0</v>
      </c>
      <c r="AO31" s="100">
        <f>IFERROR(AF31*20+(((AJ31/AH31)/2)*20),0)</f>
        <v>82032</v>
      </c>
      <c r="AP31" s="100">
        <f t="shared" ref="AP31:AP62" si="8">ROUNDUP(SUM(AI31:AO31)*5%,0)</f>
        <v>330717</v>
      </c>
      <c r="AQ31" s="101">
        <f t="shared" ref="AQ31:AQ48" si="9">ROUNDUP(SUM(AI31:AP31),0)</f>
        <v>6945048</v>
      </c>
      <c r="AR31" s="101">
        <v>0</v>
      </c>
      <c r="AS31" s="101">
        <v>0</v>
      </c>
      <c r="AT31" s="102" t="s">
        <v>33</v>
      </c>
      <c r="AU31" s="103">
        <v>2</v>
      </c>
      <c r="AV31" s="104">
        <v>1.5</v>
      </c>
      <c r="AW31" s="105"/>
      <c r="AX31" s="106">
        <f t="shared" ref="AX31:AX52" si="10">IFERROR((AG31/AF31)*100,"")</f>
        <v>2.41198556660816</v>
      </c>
      <c r="AY31" s="101">
        <f t="shared" ref="AY31:AY81" si="11">ROUNDUP(AG31*AH31,0)</f>
        <v>156973</v>
      </c>
      <c r="AZ31" s="107"/>
      <c r="BA31" s="94">
        <v>45383.472222222219</v>
      </c>
      <c r="BB31" s="94">
        <v>45383.475694444445</v>
      </c>
      <c r="BC31" s="94">
        <v>45383.475694444445</v>
      </c>
      <c r="BD31" s="94">
        <v>45383.636111111111</v>
      </c>
      <c r="BE31" s="95">
        <f t="shared" ref="BE31:BE49" si="12">+BD31-BA31</f>
        <v>0.16388888889196096</v>
      </c>
      <c r="BF31" s="95">
        <v>3.125E-2</v>
      </c>
      <c r="BG31" s="95">
        <v>1.3888888888888889E-3</v>
      </c>
      <c r="BH31" s="95">
        <f t="shared" ref="BH31:BJ49" si="13">+BB31-BA31</f>
        <v>3.4722222262644209E-3</v>
      </c>
      <c r="BI31" s="95">
        <f t="shared" si="13"/>
        <v>0</v>
      </c>
      <c r="BJ31" s="95">
        <f t="shared" si="13"/>
        <v>0.16041666666569654</v>
      </c>
      <c r="BK31" s="95">
        <f t="shared" ref="BK31:BK49" si="14">+BI31+BJ31</f>
        <v>0.16041666666569654</v>
      </c>
      <c r="BL31" s="95">
        <f t="shared" ref="BL31:BL49" si="15">+BE31-BH31-BF31-BG31</f>
        <v>0.12777777777680766</v>
      </c>
      <c r="BM31" s="95" t="str">
        <f t="shared" ref="BM31:BM49" si="16">IF(VALUE(BE31)&lt;=VALUE("05:00"),"00:00",VALUE(BE31)-VALUE("05:00"))</f>
        <v>00:00</v>
      </c>
      <c r="BN31" s="108"/>
    </row>
    <row r="32" spans="1:66" s="8" customFormat="1" ht="12.75" customHeight="1" x14ac:dyDescent="0.25">
      <c r="A32" s="90">
        <v>2</v>
      </c>
      <c r="B32" s="90">
        <v>2</v>
      </c>
      <c r="C32" s="90">
        <v>1</v>
      </c>
      <c r="D32" s="90" t="s">
        <v>113</v>
      </c>
      <c r="E32" s="91" t="s">
        <v>119</v>
      </c>
      <c r="F32" s="90" t="s">
        <v>32</v>
      </c>
      <c r="G32" s="90" t="s">
        <v>8</v>
      </c>
      <c r="H32" s="90" t="s">
        <v>120</v>
      </c>
      <c r="I32" s="92" t="s">
        <v>121</v>
      </c>
      <c r="J32" s="93">
        <v>45383</v>
      </c>
      <c r="K32" s="92" t="s">
        <v>122</v>
      </c>
      <c r="L32" s="92">
        <v>261005677</v>
      </c>
      <c r="M32" s="93">
        <v>45384</v>
      </c>
      <c r="N32" s="94">
        <v>45383.6875</v>
      </c>
      <c r="O32" s="94">
        <v>45383.6875</v>
      </c>
      <c r="P32" s="94">
        <v>45383.690972222219</v>
      </c>
      <c r="Q32" s="94">
        <v>45383.895833333336</v>
      </c>
      <c r="R32" s="94" t="s">
        <v>118</v>
      </c>
      <c r="S32" s="94" t="s">
        <v>118</v>
      </c>
      <c r="T32" s="94">
        <v>45383.916666666664</v>
      </c>
      <c r="U32" s="94">
        <v>45384.038194444445</v>
      </c>
      <c r="V32" s="95">
        <f t="shared" si="0"/>
        <v>0.20833333333575865</v>
      </c>
      <c r="W32" s="95">
        <v>0.20833333333333334</v>
      </c>
      <c r="X32" s="95">
        <f t="shared" si="1"/>
        <v>2.4253099528692701E-12</v>
      </c>
      <c r="Y32" s="96">
        <v>2</v>
      </c>
      <c r="Z32" s="96">
        <v>57</v>
      </c>
      <c r="AA32" s="96">
        <f t="shared" si="2"/>
        <v>59</v>
      </c>
      <c r="AB32" s="97">
        <f t="shared" si="3"/>
        <v>136.97593220338982</v>
      </c>
      <c r="AC32" s="97">
        <f t="shared" si="4"/>
        <v>3903.8140677966098</v>
      </c>
      <c r="AD32" s="98">
        <v>4040.79</v>
      </c>
      <c r="AE32" s="98">
        <v>4110</v>
      </c>
      <c r="AF32" s="98">
        <v>4114.8</v>
      </c>
      <c r="AG32" s="98">
        <f t="shared" si="5"/>
        <v>74.010000000000218</v>
      </c>
      <c r="AH32" s="99">
        <v>1398.7</v>
      </c>
      <c r="AI32" s="100">
        <f t="shared" si="6"/>
        <v>5755370.7600000007</v>
      </c>
      <c r="AJ32" s="100">
        <f t="shared" si="7"/>
        <v>0</v>
      </c>
      <c r="AK32" s="100">
        <v>0</v>
      </c>
      <c r="AL32" s="100">
        <v>24290</v>
      </c>
      <c r="AM32" s="100">
        <v>0</v>
      </c>
      <c r="AN32" s="100">
        <v>0</v>
      </c>
      <c r="AO32" s="100">
        <v>0</v>
      </c>
      <c r="AP32" s="100">
        <f t="shared" si="8"/>
        <v>288984</v>
      </c>
      <c r="AQ32" s="101">
        <f t="shared" si="9"/>
        <v>6068645</v>
      </c>
      <c r="AR32" s="101">
        <v>0</v>
      </c>
      <c r="AS32" s="101">
        <v>0</v>
      </c>
      <c r="AT32" s="102" t="s">
        <v>33</v>
      </c>
      <c r="AU32" s="103">
        <v>4</v>
      </c>
      <c r="AV32" s="104">
        <v>2.5</v>
      </c>
      <c r="AW32" s="105"/>
      <c r="AX32" s="106">
        <f t="shared" si="10"/>
        <v>1.798629337999422</v>
      </c>
      <c r="AY32" s="101">
        <f t="shared" si="11"/>
        <v>103518</v>
      </c>
      <c r="AZ32" s="107"/>
      <c r="BA32" s="94">
        <v>45383.680555555555</v>
      </c>
      <c r="BB32" s="94">
        <v>45383.684027777781</v>
      </c>
      <c r="BC32" s="94">
        <v>45383.684027777781</v>
      </c>
      <c r="BD32" s="94">
        <v>45383.838888888888</v>
      </c>
      <c r="BE32" s="95">
        <f t="shared" si="12"/>
        <v>0.15833333333284827</v>
      </c>
      <c r="BF32" s="95">
        <v>0</v>
      </c>
      <c r="BG32" s="95">
        <v>1.1805555555555555E-2</v>
      </c>
      <c r="BH32" s="95">
        <f t="shared" si="13"/>
        <v>3.4722222262644209E-3</v>
      </c>
      <c r="BI32" s="95">
        <f t="shared" si="13"/>
        <v>0</v>
      </c>
      <c r="BJ32" s="95">
        <f t="shared" si="13"/>
        <v>0.15486111110658385</v>
      </c>
      <c r="BK32" s="95">
        <f t="shared" si="14"/>
        <v>0.15486111110658385</v>
      </c>
      <c r="BL32" s="95">
        <f t="shared" si="15"/>
        <v>0.14305555555102828</v>
      </c>
      <c r="BM32" s="95" t="str">
        <f t="shared" si="16"/>
        <v>00:00</v>
      </c>
      <c r="BN32" s="108"/>
    </row>
    <row r="33" spans="1:66" s="8" customFormat="1" ht="12.75" customHeight="1" x14ac:dyDescent="0.25">
      <c r="A33" s="90">
        <v>3</v>
      </c>
      <c r="B33" s="90">
        <v>3</v>
      </c>
      <c r="C33" s="90">
        <v>1</v>
      </c>
      <c r="D33" s="90" t="s">
        <v>113</v>
      </c>
      <c r="E33" s="91" t="s">
        <v>123</v>
      </c>
      <c r="F33" s="90" t="s">
        <v>29</v>
      </c>
      <c r="G33" s="90" t="s">
        <v>8</v>
      </c>
      <c r="H33" s="90" t="s">
        <v>124</v>
      </c>
      <c r="I33" s="92" t="s">
        <v>125</v>
      </c>
      <c r="J33" s="93">
        <v>45383</v>
      </c>
      <c r="K33" s="92" t="s">
        <v>122</v>
      </c>
      <c r="L33" s="92">
        <v>461000168</v>
      </c>
      <c r="M33" s="93">
        <v>45384</v>
      </c>
      <c r="N33" s="94">
        <v>45384.125</v>
      </c>
      <c r="O33" s="94">
        <v>45384.125</v>
      </c>
      <c r="P33" s="94">
        <v>45384.128472222219</v>
      </c>
      <c r="Q33" s="94">
        <v>45384.333333333336</v>
      </c>
      <c r="R33" s="94" t="s">
        <v>118</v>
      </c>
      <c r="S33" s="94" t="s">
        <v>118</v>
      </c>
      <c r="T33" s="94">
        <v>45384.354166666664</v>
      </c>
      <c r="U33" s="94">
        <v>45384.496527777781</v>
      </c>
      <c r="V33" s="95">
        <f t="shared" si="0"/>
        <v>0.20833333333575865</v>
      </c>
      <c r="W33" s="95">
        <v>0.20833333333333334</v>
      </c>
      <c r="X33" s="95">
        <f t="shared" si="1"/>
        <v>2.4253099528692701E-12</v>
      </c>
      <c r="Y33" s="96">
        <v>0</v>
      </c>
      <c r="Z33" s="96">
        <v>59</v>
      </c>
      <c r="AA33" s="96">
        <f t="shared" si="2"/>
        <v>59</v>
      </c>
      <c r="AB33" s="97">
        <f t="shared" si="3"/>
        <v>0</v>
      </c>
      <c r="AC33" s="97">
        <f t="shared" si="4"/>
        <v>4002.6799999999994</v>
      </c>
      <c r="AD33" s="98">
        <v>4002.68</v>
      </c>
      <c r="AE33" s="98">
        <v>4112.5</v>
      </c>
      <c r="AF33" s="98">
        <v>4114.2</v>
      </c>
      <c r="AG33" s="98">
        <f t="shared" si="5"/>
        <v>111.51999999999998</v>
      </c>
      <c r="AH33" s="99">
        <v>797.2</v>
      </c>
      <c r="AI33" s="100">
        <f t="shared" si="6"/>
        <v>3279840.24</v>
      </c>
      <c r="AJ33" s="100">
        <f t="shared" si="7"/>
        <v>0</v>
      </c>
      <c r="AK33" s="100">
        <v>0</v>
      </c>
      <c r="AL33" s="100">
        <v>24290</v>
      </c>
      <c r="AM33" s="100">
        <v>0</v>
      </c>
      <c r="AN33" s="100">
        <v>0</v>
      </c>
      <c r="AO33" s="100">
        <v>0</v>
      </c>
      <c r="AP33" s="100">
        <f t="shared" si="8"/>
        <v>165207</v>
      </c>
      <c r="AQ33" s="101">
        <f t="shared" si="9"/>
        <v>3469338</v>
      </c>
      <c r="AR33" s="101">
        <v>0</v>
      </c>
      <c r="AS33" s="101">
        <v>0</v>
      </c>
      <c r="AT33" s="102" t="s">
        <v>33</v>
      </c>
      <c r="AU33" s="109">
        <v>1</v>
      </c>
      <c r="AV33" s="100">
        <v>1</v>
      </c>
      <c r="AW33" s="105"/>
      <c r="AX33" s="106">
        <f t="shared" si="10"/>
        <v>2.7106120266394433</v>
      </c>
      <c r="AY33" s="101">
        <f t="shared" si="11"/>
        <v>88904</v>
      </c>
      <c r="AZ33" s="107"/>
      <c r="BA33" s="94">
        <v>45384.125</v>
      </c>
      <c r="BB33" s="94">
        <v>45384.128472222219</v>
      </c>
      <c r="BC33" s="94">
        <v>45384.128472222219</v>
      </c>
      <c r="BD33" s="94">
        <v>45384.301388888889</v>
      </c>
      <c r="BE33" s="95">
        <f t="shared" si="12"/>
        <v>0.17638888888905058</v>
      </c>
      <c r="BF33" s="95">
        <v>0</v>
      </c>
      <c r="BG33" s="95">
        <v>5.0694444444444445E-2</v>
      </c>
      <c r="BH33" s="95">
        <f t="shared" si="13"/>
        <v>3.4722222189884633E-3</v>
      </c>
      <c r="BI33" s="95">
        <f t="shared" si="13"/>
        <v>0</v>
      </c>
      <c r="BJ33" s="95">
        <f t="shared" si="13"/>
        <v>0.17291666667006211</v>
      </c>
      <c r="BK33" s="95">
        <f t="shared" si="14"/>
        <v>0.17291666667006211</v>
      </c>
      <c r="BL33" s="95">
        <f t="shared" si="15"/>
        <v>0.12222222222561767</v>
      </c>
      <c r="BM33" s="95" t="str">
        <f t="shared" si="16"/>
        <v>00:00</v>
      </c>
      <c r="BN33" s="110"/>
    </row>
    <row r="34" spans="1:66" s="8" customFormat="1" ht="12.75" customHeight="1" x14ac:dyDescent="0.25">
      <c r="A34" s="111">
        <v>4</v>
      </c>
      <c r="B34" s="90">
        <v>4</v>
      </c>
      <c r="C34" s="111">
        <v>2</v>
      </c>
      <c r="D34" s="111" t="s">
        <v>113</v>
      </c>
      <c r="E34" s="112" t="s">
        <v>126</v>
      </c>
      <c r="F34" s="90" t="s">
        <v>32</v>
      </c>
      <c r="G34" s="90" t="s">
        <v>15</v>
      </c>
      <c r="H34" s="90" t="s">
        <v>127</v>
      </c>
      <c r="I34" s="96" t="s">
        <v>128</v>
      </c>
      <c r="J34" s="113">
        <v>45384</v>
      </c>
      <c r="K34" s="96" t="s">
        <v>122</v>
      </c>
      <c r="L34" s="96">
        <v>262009522</v>
      </c>
      <c r="M34" s="113">
        <v>45385</v>
      </c>
      <c r="N34" s="114">
        <v>45384.65625</v>
      </c>
      <c r="O34" s="114">
        <v>45384.65625</v>
      </c>
      <c r="P34" s="114">
        <v>45384.659722222219</v>
      </c>
      <c r="Q34" s="114">
        <v>45384.854166666664</v>
      </c>
      <c r="R34" s="114" t="s">
        <v>118</v>
      </c>
      <c r="S34" s="114" t="s">
        <v>118</v>
      </c>
      <c r="T34" s="114">
        <v>45384.875</v>
      </c>
      <c r="U34" s="114">
        <v>45384.993055555555</v>
      </c>
      <c r="V34" s="95">
        <f t="shared" si="0"/>
        <v>0.19791666666424135</v>
      </c>
      <c r="W34" s="95">
        <v>0.20833333333333334</v>
      </c>
      <c r="X34" s="95" t="str">
        <f t="shared" si="1"/>
        <v>00:00</v>
      </c>
      <c r="Y34" s="96">
        <v>0</v>
      </c>
      <c r="Z34" s="96">
        <v>58</v>
      </c>
      <c r="AA34" s="96">
        <f t="shared" si="2"/>
        <v>58</v>
      </c>
      <c r="AB34" s="97">
        <f t="shared" si="3"/>
        <v>0</v>
      </c>
      <c r="AC34" s="97">
        <f t="shared" si="4"/>
        <v>4019.9199999999996</v>
      </c>
      <c r="AD34" s="98">
        <v>4019.92</v>
      </c>
      <c r="AE34" s="98">
        <v>4033.4</v>
      </c>
      <c r="AF34" s="98">
        <v>4050.4</v>
      </c>
      <c r="AG34" s="98">
        <f t="shared" si="5"/>
        <v>30.480000000000018</v>
      </c>
      <c r="AH34" s="99">
        <v>1484</v>
      </c>
      <c r="AI34" s="100">
        <f t="shared" si="6"/>
        <v>6010793.6000000006</v>
      </c>
      <c r="AJ34" s="100">
        <f t="shared" si="7"/>
        <v>0</v>
      </c>
      <c r="AK34" s="100">
        <v>0</v>
      </c>
      <c r="AL34" s="100">
        <v>24140</v>
      </c>
      <c r="AM34" s="100">
        <v>0</v>
      </c>
      <c r="AN34" s="100">
        <v>0</v>
      </c>
      <c r="AO34" s="100">
        <v>0</v>
      </c>
      <c r="AP34" s="100">
        <f t="shared" si="8"/>
        <v>301747</v>
      </c>
      <c r="AQ34" s="101">
        <f t="shared" si="9"/>
        <v>6336681</v>
      </c>
      <c r="AR34" s="101">
        <v>0</v>
      </c>
      <c r="AS34" s="101">
        <v>0</v>
      </c>
      <c r="AT34" s="102" t="s">
        <v>33</v>
      </c>
      <c r="AU34" s="109">
        <v>5</v>
      </c>
      <c r="AV34" s="100">
        <v>4.5</v>
      </c>
      <c r="AW34" s="105"/>
      <c r="AX34" s="106">
        <f t="shared" si="10"/>
        <v>0.75251826980051395</v>
      </c>
      <c r="AY34" s="101">
        <f t="shared" si="11"/>
        <v>45233</v>
      </c>
      <c r="AZ34" s="107"/>
      <c r="BA34" s="94">
        <v>45384.659722222219</v>
      </c>
      <c r="BB34" s="94">
        <v>45384.659722222219</v>
      </c>
      <c r="BC34" s="94">
        <v>45384.663194444445</v>
      </c>
      <c r="BD34" s="94">
        <v>45384.809027777781</v>
      </c>
      <c r="BE34" s="95">
        <f t="shared" si="12"/>
        <v>0.14930555556202307</v>
      </c>
      <c r="BF34" s="95">
        <v>6.2500000000000003E-3</v>
      </c>
      <c r="BG34" s="95">
        <v>4.5138888888888888E-2</v>
      </c>
      <c r="BH34" s="95">
        <f t="shared" si="13"/>
        <v>0</v>
      </c>
      <c r="BI34" s="95">
        <f t="shared" si="13"/>
        <v>3.4722222262644209E-3</v>
      </c>
      <c r="BJ34" s="95">
        <f t="shared" si="13"/>
        <v>0.14583333333575865</v>
      </c>
      <c r="BK34" s="95">
        <f t="shared" si="14"/>
        <v>0.14930555556202307</v>
      </c>
      <c r="BL34" s="95">
        <f t="shared" si="15"/>
        <v>9.7916666673134173E-2</v>
      </c>
      <c r="BM34" s="95" t="str">
        <f t="shared" si="16"/>
        <v>00:00</v>
      </c>
      <c r="BN34" s="108"/>
    </row>
    <row r="35" spans="1:66" s="8" customFormat="1" ht="12.75" customHeight="1" x14ac:dyDescent="0.25">
      <c r="A35" s="111">
        <v>5</v>
      </c>
      <c r="B35" s="90">
        <v>5</v>
      </c>
      <c r="C35" s="111">
        <v>2</v>
      </c>
      <c r="D35" s="111" t="s">
        <v>113</v>
      </c>
      <c r="E35" s="112" t="s">
        <v>123</v>
      </c>
      <c r="F35" s="90" t="s">
        <v>29</v>
      </c>
      <c r="G35" s="90" t="s">
        <v>8</v>
      </c>
      <c r="H35" s="111" t="s">
        <v>124</v>
      </c>
      <c r="I35" s="96" t="s">
        <v>129</v>
      </c>
      <c r="J35" s="113">
        <v>45384</v>
      </c>
      <c r="K35" s="96" t="s">
        <v>122</v>
      </c>
      <c r="L35" s="92">
        <v>461000169</v>
      </c>
      <c r="M35" s="113">
        <v>45385</v>
      </c>
      <c r="N35" s="114">
        <v>45385.604166666664</v>
      </c>
      <c r="O35" s="114">
        <v>45385.604166666664</v>
      </c>
      <c r="P35" s="114">
        <v>45385.611111111109</v>
      </c>
      <c r="Q35" s="114">
        <v>45385.770833333336</v>
      </c>
      <c r="R35" s="114" t="s">
        <v>118</v>
      </c>
      <c r="S35" s="114" t="s">
        <v>118</v>
      </c>
      <c r="T35" s="114">
        <v>45385.822916666664</v>
      </c>
      <c r="U35" s="114">
        <v>45355.875694444447</v>
      </c>
      <c r="V35" s="95">
        <f t="shared" si="0"/>
        <v>0.16666666667151731</v>
      </c>
      <c r="W35" s="95">
        <v>0.20833333333333334</v>
      </c>
      <c r="X35" s="95" t="str">
        <f t="shared" si="1"/>
        <v>00:00</v>
      </c>
      <c r="Y35" s="96">
        <v>0</v>
      </c>
      <c r="Z35" s="96">
        <v>58</v>
      </c>
      <c r="AA35" s="96">
        <f t="shared" si="2"/>
        <v>58</v>
      </c>
      <c r="AB35" s="97">
        <f t="shared" si="3"/>
        <v>0</v>
      </c>
      <c r="AC35" s="97">
        <f t="shared" si="4"/>
        <v>3930.8500000000004</v>
      </c>
      <c r="AD35" s="98">
        <v>3930.85</v>
      </c>
      <c r="AE35" s="98">
        <v>4028.2</v>
      </c>
      <c r="AF35" s="98">
        <v>4028.8</v>
      </c>
      <c r="AG35" s="98">
        <f t="shared" si="5"/>
        <v>97.950000000000273</v>
      </c>
      <c r="AH35" s="99">
        <v>797.2</v>
      </c>
      <c r="AI35" s="100">
        <f t="shared" si="6"/>
        <v>3211759.3600000003</v>
      </c>
      <c r="AJ35" s="100">
        <f t="shared" si="7"/>
        <v>0</v>
      </c>
      <c r="AK35" s="100">
        <v>0</v>
      </c>
      <c r="AL35" s="100">
        <v>0</v>
      </c>
      <c r="AM35" s="100">
        <v>0</v>
      </c>
      <c r="AN35" s="100">
        <v>0</v>
      </c>
      <c r="AO35" s="100">
        <v>0</v>
      </c>
      <c r="AP35" s="100">
        <f t="shared" si="8"/>
        <v>160588</v>
      </c>
      <c r="AQ35" s="101">
        <f t="shared" si="9"/>
        <v>3372348</v>
      </c>
      <c r="AR35" s="101">
        <v>0</v>
      </c>
      <c r="AS35" s="101">
        <v>0</v>
      </c>
      <c r="AT35" s="102" t="s">
        <v>33</v>
      </c>
      <c r="AU35" s="109" t="s">
        <v>118</v>
      </c>
      <c r="AV35" s="100">
        <v>0</v>
      </c>
      <c r="AW35" s="105"/>
      <c r="AX35" s="106">
        <f t="shared" si="10"/>
        <v>2.4312450357426596</v>
      </c>
      <c r="AY35" s="101">
        <f t="shared" si="11"/>
        <v>78086</v>
      </c>
      <c r="AZ35" s="107"/>
      <c r="BA35" s="94">
        <v>45385.604166666664</v>
      </c>
      <c r="BB35" s="94">
        <v>45385.611111111109</v>
      </c>
      <c r="BC35" s="94">
        <v>45385.611111111109</v>
      </c>
      <c r="BD35" s="94">
        <v>45385.743055555555</v>
      </c>
      <c r="BE35" s="95">
        <f t="shared" si="12"/>
        <v>0.13888888889050577</v>
      </c>
      <c r="BF35" s="95">
        <v>0</v>
      </c>
      <c r="BG35" s="95">
        <v>1.3888888888888888E-2</v>
      </c>
      <c r="BH35" s="95">
        <f t="shared" si="13"/>
        <v>6.9444444452528842E-3</v>
      </c>
      <c r="BI35" s="95">
        <f t="shared" si="13"/>
        <v>0</v>
      </c>
      <c r="BJ35" s="95">
        <f t="shared" si="13"/>
        <v>0.13194444444525288</v>
      </c>
      <c r="BK35" s="95">
        <f t="shared" si="14"/>
        <v>0.13194444444525288</v>
      </c>
      <c r="BL35" s="95">
        <f t="shared" si="15"/>
        <v>0.11805555555636399</v>
      </c>
      <c r="BM35" s="95" t="str">
        <f t="shared" si="16"/>
        <v>00:00</v>
      </c>
      <c r="BN35" s="108"/>
    </row>
    <row r="36" spans="1:66" s="8" customFormat="1" ht="12.75" customHeight="1" x14ac:dyDescent="0.25">
      <c r="A36" s="90">
        <v>6</v>
      </c>
      <c r="B36" s="90">
        <v>6</v>
      </c>
      <c r="C36" s="90">
        <v>1</v>
      </c>
      <c r="D36" s="90" t="s">
        <v>113</v>
      </c>
      <c r="E36" s="91" t="s">
        <v>130</v>
      </c>
      <c r="F36" s="90" t="s">
        <v>25</v>
      </c>
      <c r="G36" s="90" t="s">
        <v>12</v>
      </c>
      <c r="H36" s="90" t="s">
        <v>131</v>
      </c>
      <c r="I36" s="92" t="s">
        <v>132</v>
      </c>
      <c r="J36" s="93">
        <v>45385</v>
      </c>
      <c r="K36" s="92" t="s">
        <v>117</v>
      </c>
      <c r="L36" s="92">
        <v>282000884</v>
      </c>
      <c r="M36" s="93">
        <v>45386</v>
      </c>
      <c r="N36" s="94">
        <v>45385.756944444445</v>
      </c>
      <c r="O36" s="94">
        <v>45385.756944444445</v>
      </c>
      <c r="P36" s="94">
        <v>45385.760416666664</v>
      </c>
      <c r="Q36" s="94">
        <v>45385.958333333336</v>
      </c>
      <c r="R36" s="114" t="s">
        <v>118</v>
      </c>
      <c r="S36" s="114" t="s">
        <v>118</v>
      </c>
      <c r="T36" s="114">
        <v>45386.020833333336</v>
      </c>
      <c r="U36" s="114">
        <v>45386.094444444447</v>
      </c>
      <c r="V36" s="95">
        <f t="shared" si="0"/>
        <v>0.20138888889050577</v>
      </c>
      <c r="W36" s="95">
        <v>0.20833333333333334</v>
      </c>
      <c r="X36" s="95" t="str">
        <f t="shared" si="1"/>
        <v>00:00</v>
      </c>
      <c r="Y36" s="96">
        <v>0</v>
      </c>
      <c r="Z36" s="96">
        <v>58</v>
      </c>
      <c r="AA36" s="96">
        <f t="shared" si="2"/>
        <v>58</v>
      </c>
      <c r="AB36" s="97">
        <f t="shared" si="3"/>
        <v>0</v>
      </c>
      <c r="AC36" s="97">
        <f t="shared" si="4"/>
        <v>3698.28</v>
      </c>
      <c r="AD36" s="98">
        <v>3698.28</v>
      </c>
      <c r="AE36" s="98">
        <v>4044.3</v>
      </c>
      <c r="AF36" s="98">
        <v>4044.4</v>
      </c>
      <c r="AG36" s="98">
        <f t="shared" si="5"/>
        <v>346.11999999999989</v>
      </c>
      <c r="AH36" s="99">
        <v>1398.7</v>
      </c>
      <c r="AI36" s="100">
        <f t="shared" si="6"/>
        <v>5656902.2800000003</v>
      </c>
      <c r="AJ36" s="100">
        <f t="shared" si="7"/>
        <v>0</v>
      </c>
      <c r="AK36" s="100">
        <v>0</v>
      </c>
      <c r="AL36" s="100">
        <v>0</v>
      </c>
      <c r="AM36" s="100">
        <v>0</v>
      </c>
      <c r="AN36" s="100">
        <v>0</v>
      </c>
      <c r="AO36" s="100">
        <v>0</v>
      </c>
      <c r="AP36" s="100">
        <f t="shared" si="8"/>
        <v>282846</v>
      </c>
      <c r="AQ36" s="101">
        <f t="shared" si="9"/>
        <v>5939749</v>
      </c>
      <c r="AR36" s="101">
        <v>0</v>
      </c>
      <c r="AS36" s="101">
        <v>0</v>
      </c>
      <c r="AT36" s="102" t="s">
        <v>33</v>
      </c>
      <c r="AU36" s="109" t="s">
        <v>118</v>
      </c>
      <c r="AV36" s="100">
        <v>0</v>
      </c>
      <c r="AW36" s="105"/>
      <c r="AX36" s="106">
        <f t="shared" si="10"/>
        <v>8.5580061319355121</v>
      </c>
      <c r="AY36" s="101">
        <f t="shared" si="11"/>
        <v>484119</v>
      </c>
      <c r="AZ36" s="107"/>
      <c r="BA36" s="94">
        <v>45385.75</v>
      </c>
      <c r="BB36" s="94">
        <v>45385.753472222219</v>
      </c>
      <c r="BC36" s="94">
        <v>45385.753472222219</v>
      </c>
      <c r="BD36" s="94">
        <v>45385.916666666664</v>
      </c>
      <c r="BE36" s="95">
        <f t="shared" si="12"/>
        <v>0.16666666666424135</v>
      </c>
      <c r="BF36" s="95">
        <v>0</v>
      </c>
      <c r="BG36" s="95">
        <v>2.430555555555558E-2</v>
      </c>
      <c r="BH36" s="95">
        <f t="shared" si="13"/>
        <v>3.4722222189884633E-3</v>
      </c>
      <c r="BI36" s="95">
        <f t="shared" si="13"/>
        <v>0</v>
      </c>
      <c r="BJ36" s="95">
        <f t="shared" si="13"/>
        <v>0.16319444444525288</v>
      </c>
      <c r="BK36" s="95">
        <f t="shared" si="14"/>
        <v>0.16319444444525288</v>
      </c>
      <c r="BL36" s="95">
        <f t="shared" si="15"/>
        <v>0.1388888888896973</v>
      </c>
      <c r="BM36" s="95" t="str">
        <f t="shared" si="16"/>
        <v>00:00</v>
      </c>
      <c r="BN36" s="110"/>
    </row>
    <row r="37" spans="1:66" s="8" customFormat="1" ht="12.75" customHeight="1" x14ac:dyDescent="0.25">
      <c r="A37" s="90">
        <v>7</v>
      </c>
      <c r="B37" s="90">
        <v>7</v>
      </c>
      <c r="C37" s="90">
        <v>2</v>
      </c>
      <c r="D37" s="90" t="s">
        <v>113</v>
      </c>
      <c r="E37" s="91" t="s">
        <v>114</v>
      </c>
      <c r="F37" s="90" t="s">
        <v>39</v>
      </c>
      <c r="G37" s="90" t="s">
        <v>12</v>
      </c>
      <c r="H37" s="90" t="s">
        <v>115</v>
      </c>
      <c r="I37" s="92" t="s">
        <v>133</v>
      </c>
      <c r="J37" s="93">
        <v>45386</v>
      </c>
      <c r="K37" s="92" t="s">
        <v>122</v>
      </c>
      <c r="L37" s="92">
        <v>282000885</v>
      </c>
      <c r="M37" s="93">
        <v>45386</v>
      </c>
      <c r="N37" s="94">
        <v>45386.027777777781</v>
      </c>
      <c r="O37" s="94">
        <v>45386.027777777781</v>
      </c>
      <c r="P37" s="94">
        <v>45386.03125</v>
      </c>
      <c r="Q37" s="94">
        <v>45386.236111111109</v>
      </c>
      <c r="R37" s="114" t="s">
        <v>118</v>
      </c>
      <c r="S37" s="114" t="s">
        <v>118</v>
      </c>
      <c r="T37" s="114">
        <v>45386.270833333336</v>
      </c>
      <c r="U37" s="114">
        <v>45386.423611111109</v>
      </c>
      <c r="V37" s="95">
        <f t="shared" si="0"/>
        <v>0.20833333332848269</v>
      </c>
      <c r="W37" s="95">
        <v>0.20833333333333334</v>
      </c>
      <c r="X37" s="95" t="str">
        <f t="shared" si="1"/>
        <v>00:00</v>
      </c>
      <c r="Y37" s="96">
        <v>0</v>
      </c>
      <c r="Z37" s="96">
        <v>58</v>
      </c>
      <c r="AA37" s="96">
        <f t="shared" si="2"/>
        <v>58</v>
      </c>
      <c r="AB37" s="97">
        <f t="shared" si="3"/>
        <v>0</v>
      </c>
      <c r="AC37" s="97">
        <f t="shared" si="4"/>
        <v>4029.7</v>
      </c>
      <c r="AD37" s="98">
        <v>4029.7</v>
      </c>
      <c r="AE37" s="98">
        <v>4060</v>
      </c>
      <c r="AF37" s="98">
        <v>4067.2</v>
      </c>
      <c r="AG37" s="98">
        <f t="shared" si="5"/>
        <v>37.5</v>
      </c>
      <c r="AH37" s="99">
        <v>1586.7</v>
      </c>
      <c r="AI37" s="100">
        <f t="shared" si="6"/>
        <v>6453426.2400000002</v>
      </c>
      <c r="AJ37" s="100">
        <f t="shared" si="7"/>
        <v>0</v>
      </c>
      <c r="AK37" s="100">
        <v>0</v>
      </c>
      <c r="AL37" s="100">
        <v>24140</v>
      </c>
      <c r="AM37" s="100">
        <v>0</v>
      </c>
      <c r="AN37" s="100">
        <v>0</v>
      </c>
      <c r="AO37" s="100">
        <f>IFERROR(AF37*20+(((AJ37/AH37)/2)*20),0)</f>
        <v>81344</v>
      </c>
      <c r="AP37" s="100">
        <f t="shared" si="8"/>
        <v>327946</v>
      </c>
      <c r="AQ37" s="101">
        <f t="shared" si="9"/>
        <v>6886857</v>
      </c>
      <c r="AR37" s="101">
        <v>0</v>
      </c>
      <c r="AS37" s="101">
        <v>0</v>
      </c>
      <c r="AT37" s="102" t="s">
        <v>34</v>
      </c>
      <c r="AU37" s="109">
        <v>4</v>
      </c>
      <c r="AV37" s="100">
        <v>2.5</v>
      </c>
      <c r="AW37" s="105"/>
      <c r="AX37" s="106">
        <f t="shared" si="10"/>
        <v>0.92201022816679779</v>
      </c>
      <c r="AY37" s="101">
        <f t="shared" si="11"/>
        <v>59502</v>
      </c>
      <c r="AZ37" s="107"/>
      <c r="BA37" s="94">
        <v>45386.027777777781</v>
      </c>
      <c r="BB37" s="94">
        <v>45386.03125</v>
      </c>
      <c r="BC37" s="94">
        <v>45386.03125</v>
      </c>
      <c r="BD37" s="94">
        <v>45386.211805555555</v>
      </c>
      <c r="BE37" s="95">
        <f t="shared" si="12"/>
        <v>0.18402777777373558</v>
      </c>
      <c r="BF37" s="95">
        <v>2.2222222222222223E-2</v>
      </c>
      <c r="BG37" s="95">
        <v>0</v>
      </c>
      <c r="BH37" s="95">
        <f t="shared" si="13"/>
        <v>3.4722222189884633E-3</v>
      </c>
      <c r="BI37" s="95">
        <f t="shared" si="13"/>
        <v>0</v>
      </c>
      <c r="BJ37" s="95">
        <f t="shared" si="13"/>
        <v>0.18055555555474712</v>
      </c>
      <c r="BK37" s="95">
        <f t="shared" si="14"/>
        <v>0.18055555555474712</v>
      </c>
      <c r="BL37" s="95">
        <f t="shared" si="15"/>
        <v>0.15833333333252489</v>
      </c>
      <c r="BM37" s="95" t="str">
        <f t="shared" si="16"/>
        <v>00:00</v>
      </c>
      <c r="BN37" s="110"/>
    </row>
    <row r="38" spans="1:66" s="8" customFormat="1" ht="12.75" customHeight="1" x14ac:dyDescent="0.25">
      <c r="A38" s="90">
        <v>8</v>
      </c>
      <c r="B38" s="90">
        <v>8</v>
      </c>
      <c r="C38" s="90">
        <v>3</v>
      </c>
      <c r="D38" s="90" t="s">
        <v>113</v>
      </c>
      <c r="E38" s="91" t="s">
        <v>123</v>
      </c>
      <c r="F38" s="90" t="s">
        <v>29</v>
      </c>
      <c r="G38" s="90" t="s">
        <v>8</v>
      </c>
      <c r="H38" s="90" t="s">
        <v>124</v>
      </c>
      <c r="I38" s="92" t="s">
        <v>134</v>
      </c>
      <c r="J38" s="93">
        <v>45386</v>
      </c>
      <c r="K38" s="92" t="s">
        <v>117</v>
      </c>
      <c r="L38" s="92">
        <v>461000170</v>
      </c>
      <c r="M38" s="93">
        <v>45386</v>
      </c>
      <c r="N38" s="94">
        <v>45386.347222222219</v>
      </c>
      <c r="O38" s="94">
        <v>45386.347222222219</v>
      </c>
      <c r="P38" s="94">
        <v>45386.354166666664</v>
      </c>
      <c r="Q38" s="94">
        <v>45386.5</v>
      </c>
      <c r="R38" s="114" t="s">
        <v>118</v>
      </c>
      <c r="S38" s="114" t="s">
        <v>118</v>
      </c>
      <c r="T38" s="114">
        <v>45386.541666666664</v>
      </c>
      <c r="U38" s="114">
        <v>45386.652777777781</v>
      </c>
      <c r="V38" s="95">
        <f t="shared" si="0"/>
        <v>0.15277777778101154</v>
      </c>
      <c r="W38" s="95">
        <v>0.20833333333333334</v>
      </c>
      <c r="X38" s="95" t="str">
        <f t="shared" si="1"/>
        <v>00:00</v>
      </c>
      <c r="Y38" s="96">
        <v>0</v>
      </c>
      <c r="Z38" s="96">
        <v>59</v>
      </c>
      <c r="AA38" s="96">
        <f t="shared" si="2"/>
        <v>59</v>
      </c>
      <c r="AB38" s="97">
        <f t="shared" si="3"/>
        <v>0</v>
      </c>
      <c r="AC38" s="97">
        <f t="shared" si="4"/>
        <v>3980.27</v>
      </c>
      <c r="AD38" s="98">
        <v>3980.27</v>
      </c>
      <c r="AE38" s="98">
        <v>4098</v>
      </c>
      <c r="AF38" s="98">
        <v>4099.8</v>
      </c>
      <c r="AG38" s="98">
        <f t="shared" si="5"/>
        <v>119.5300000000002</v>
      </c>
      <c r="AH38" s="99">
        <v>797.2</v>
      </c>
      <c r="AI38" s="100">
        <f t="shared" si="6"/>
        <v>3268360.5600000005</v>
      </c>
      <c r="AJ38" s="100">
        <f t="shared" si="7"/>
        <v>0</v>
      </c>
      <c r="AK38" s="100">
        <v>0</v>
      </c>
      <c r="AL38" s="100">
        <v>24290</v>
      </c>
      <c r="AM38" s="100">
        <v>0</v>
      </c>
      <c r="AN38" s="100">
        <v>0</v>
      </c>
      <c r="AO38" s="100">
        <v>0</v>
      </c>
      <c r="AP38" s="100">
        <f t="shared" si="8"/>
        <v>164633</v>
      </c>
      <c r="AQ38" s="101">
        <f t="shared" si="9"/>
        <v>3457284</v>
      </c>
      <c r="AR38" s="101">
        <v>0</v>
      </c>
      <c r="AS38" s="101">
        <v>0</v>
      </c>
      <c r="AT38" s="102" t="s">
        <v>33</v>
      </c>
      <c r="AU38" s="109">
        <v>1</v>
      </c>
      <c r="AV38" s="100">
        <v>1</v>
      </c>
      <c r="AW38" s="105"/>
      <c r="AX38" s="106">
        <f t="shared" si="10"/>
        <v>2.9155080735645691</v>
      </c>
      <c r="AY38" s="101">
        <f t="shared" si="11"/>
        <v>95290</v>
      </c>
      <c r="AZ38" s="107"/>
      <c r="BA38" s="94">
        <v>45386.347222222219</v>
      </c>
      <c r="BB38" s="94">
        <v>45386.354166666664</v>
      </c>
      <c r="BC38" s="94">
        <v>45386.354166666664</v>
      </c>
      <c r="BD38" s="94">
        <v>45386.486111111109</v>
      </c>
      <c r="BE38" s="95">
        <f t="shared" si="12"/>
        <v>0.13888888889050577</v>
      </c>
      <c r="BF38" s="95">
        <v>0</v>
      </c>
      <c r="BG38" s="95">
        <v>0</v>
      </c>
      <c r="BH38" s="95">
        <f t="shared" si="13"/>
        <v>6.9444444452528842E-3</v>
      </c>
      <c r="BI38" s="95">
        <f t="shared" si="13"/>
        <v>0</v>
      </c>
      <c r="BJ38" s="95">
        <f t="shared" si="13"/>
        <v>0.13194444444525288</v>
      </c>
      <c r="BK38" s="95">
        <f t="shared" si="14"/>
        <v>0.13194444444525288</v>
      </c>
      <c r="BL38" s="95">
        <f t="shared" si="15"/>
        <v>0.13194444444525288</v>
      </c>
      <c r="BM38" s="95" t="str">
        <f t="shared" si="16"/>
        <v>00:00</v>
      </c>
      <c r="BN38" s="110"/>
    </row>
    <row r="39" spans="1:66" s="8" customFormat="1" ht="12.75" customHeight="1" x14ac:dyDescent="0.25">
      <c r="A39" s="90">
        <v>9</v>
      </c>
      <c r="B39" s="90">
        <v>9</v>
      </c>
      <c r="C39" s="90">
        <v>3</v>
      </c>
      <c r="D39" s="90" t="s">
        <v>113</v>
      </c>
      <c r="E39" s="91" t="s">
        <v>126</v>
      </c>
      <c r="F39" s="90" t="s">
        <v>32</v>
      </c>
      <c r="G39" s="90" t="s">
        <v>15</v>
      </c>
      <c r="H39" s="90" t="s">
        <v>135</v>
      </c>
      <c r="I39" s="92" t="s">
        <v>136</v>
      </c>
      <c r="J39" s="93">
        <v>45387</v>
      </c>
      <c r="K39" s="92" t="s">
        <v>122</v>
      </c>
      <c r="L39" s="92">
        <v>261005684</v>
      </c>
      <c r="M39" s="93">
        <v>45387</v>
      </c>
      <c r="N39" s="94">
        <v>45387.03125</v>
      </c>
      <c r="O39" s="94">
        <v>45387.03125</v>
      </c>
      <c r="P39" s="94">
        <v>45387.034722222219</v>
      </c>
      <c r="Q39" s="94">
        <v>45387.239583333336</v>
      </c>
      <c r="R39" s="114" t="s">
        <v>118</v>
      </c>
      <c r="S39" s="114" t="s">
        <v>118</v>
      </c>
      <c r="T39" s="114">
        <v>45387.270833333336</v>
      </c>
      <c r="U39" s="114">
        <v>45387.385416666664</v>
      </c>
      <c r="V39" s="95">
        <f t="shared" si="0"/>
        <v>0.20833333333575865</v>
      </c>
      <c r="W39" s="95">
        <v>0.20833333333333334</v>
      </c>
      <c r="X39" s="95">
        <f t="shared" si="1"/>
        <v>2.4253099528692701E-12</v>
      </c>
      <c r="Y39" s="96">
        <v>0</v>
      </c>
      <c r="Z39" s="96">
        <v>59</v>
      </c>
      <c r="AA39" s="96">
        <f t="shared" si="2"/>
        <v>59</v>
      </c>
      <c r="AB39" s="97">
        <f t="shared" si="3"/>
        <v>0</v>
      </c>
      <c r="AC39" s="97">
        <f t="shared" si="4"/>
        <v>4057.8100000000004</v>
      </c>
      <c r="AD39" s="98">
        <v>4057.81</v>
      </c>
      <c r="AE39" s="98">
        <v>4099.2</v>
      </c>
      <c r="AF39" s="98">
        <v>4110.6000000000004</v>
      </c>
      <c r="AG39" s="98">
        <f t="shared" si="5"/>
        <v>52.790000000000418</v>
      </c>
      <c r="AH39" s="99">
        <v>797.2</v>
      </c>
      <c r="AI39" s="100">
        <f t="shared" si="6"/>
        <v>3276970.3200000003</v>
      </c>
      <c r="AJ39" s="100">
        <f t="shared" si="7"/>
        <v>0</v>
      </c>
      <c r="AK39" s="100">
        <v>0</v>
      </c>
      <c r="AL39" s="100">
        <v>24290</v>
      </c>
      <c r="AM39" s="100">
        <v>0</v>
      </c>
      <c r="AN39" s="100">
        <v>0</v>
      </c>
      <c r="AO39" s="100">
        <v>0</v>
      </c>
      <c r="AP39" s="100">
        <f t="shared" si="8"/>
        <v>165064</v>
      </c>
      <c r="AQ39" s="101">
        <f t="shared" si="9"/>
        <v>3466325</v>
      </c>
      <c r="AR39" s="101">
        <v>0</v>
      </c>
      <c r="AS39" s="101">
        <v>0</v>
      </c>
      <c r="AT39" s="102" t="s">
        <v>33</v>
      </c>
      <c r="AU39" s="109">
        <v>5</v>
      </c>
      <c r="AV39" s="100">
        <v>3.5</v>
      </c>
      <c r="AW39" s="105"/>
      <c r="AX39" s="106">
        <f t="shared" si="10"/>
        <v>1.2842407434437895</v>
      </c>
      <c r="AY39" s="101">
        <f t="shared" si="11"/>
        <v>42085</v>
      </c>
      <c r="AZ39" s="107"/>
      <c r="BA39" s="94">
        <v>45387.03125</v>
      </c>
      <c r="BB39" s="94">
        <v>45387.034722222219</v>
      </c>
      <c r="BC39" s="94">
        <v>45387.034722222219</v>
      </c>
      <c r="BD39" s="94">
        <v>45387.209722222222</v>
      </c>
      <c r="BE39" s="95">
        <f t="shared" si="12"/>
        <v>0.17847222222189885</v>
      </c>
      <c r="BF39" s="95">
        <v>0</v>
      </c>
      <c r="BG39" s="95">
        <v>5.347222222222222E-2</v>
      </c>
      <c r="BH39" s="95">
        <f t="shared" si="13"/>
        <v>3.4722222189884633E-3</v>
      </c>
      <c r="BI39" s="95">
        <f t="shared" si="13"/>
        <v>0</v>
      </c>
      <c r="BJ39" s="95">
        <f t="shared" si="13"/>
        <v>0.17500000000291038</v>
      </c>
      <c r="BK39" s="95">
        <f t="shared" si="14"/>
        <v>0.17500000000291038</v>
      </c>
      <c r="BL39" s="95">
        <f t="shared" si="15"/>
        <v>0.12152777778068816</v>
      </c>
      <c r="BM39" s="95" t="str">
        <f t="shared" si="16"/>
        <v>00:00</v>
      </c>
      <c r="BN39" s="110"/>
    </row>
    <row r="40" spans="1:66" s="8" customFormat="1" ht="12.75" customHeight="1" x14ac:dyDescent="0.25">
      <c r="A40" s="90">
        <v>10</v>
      </c>
      <c r="B40" s="90">
        <v>10</v>
      </c>
      <c r="C40" s="90">
        <v>1</v>
      </c>
      <c r="D40" s="90" t="s">
        <v>113</v>
      </c>
      <c r="E40" s="91" t="s">
        <v>137</v>
      </c>
      <c r="F40" s="90" t="s">
        <v>27</v>
      </c>
      <c r="G40" s="90" t="s">
        <v>12</v>
      </c>
      <c r="H40" s="90" t="s">
        <v>115</v>
      </c>
      <c r="I40" s="92" t="s">
        <v>138</v>
      </c>
      <c r="J40" s="93">
        <v>45387</v>
      </c>
      <c r="K40" s="92" t="s">
        <v>117</v>
      </c>
      <c r="L40" s="92">
        <v>282000886</v>
      </c>
      <c r="M40" s="93">
        <v>45388</v>
      </c>
      <c r="N40" s="94">
        <v>45387.677083333336</v>
      </c>
      <c r="O40" s="94">
        <v>45387.677083333336</v>
      </c>
      <c r="P40" s="94">
        <v>45387.680555555555</v>
      </c>
      <c r="Q40" s="94">
        <v>45387.885416666664</v>
      </c>
      <c r="R40" s="114" t="s">
        <v>118</v>
      </c>
      <c r="S40" s="114" t="s">
        <v>118</v>
      </c>
      <c r="T40" s="114">
        <v>45388.031944444447</v>
      </c>
      <c r="U40" s="114">
        <v>45388.059027777781</v>
      </c>
      <c r="V40" s="95">
        <f t="shared" si="0"/>
        <v>0.20833333332848269</v>
      </c>
      <c r="W40" s="95">
        <v>0.20833333333333334</v>
      </c>
      <c r="X40" s="95" t="str">
        <f t="shared" si="1"/>
        <v>00:00</v>
      </c>
      <c r="Y40" s="96">
        <v>0</v>
      </c>
      <c r="Z40" s="96">
        <v>59</v>
      </c>
      <c r="AA40" s="96">
        <f t="shared" si="2"/>
        <v>59</v>
      </c>
      <c r="AB40" s="97">
        <f t="shared" si="3"/>
        <v>0</v>
      </c>
      <c r="AC40" s="97">
        <f t="shared" si="4"/>
        <v>4033.71</v>
      </c>
      <c r="AD40" s="98">
        <v>4033.71</v>
      </c>
      <c r="AE40" s="98">
        <v>4098</v>
      </c>
      <c r="AF40" s="98">
        <v>4103.6000000000004</v>
      </c>
      <c r="AG40" s="98">
        <f t="shared" si="5"/>
        <v>69.890000000000327</v>
      </c>
      <c r="AH40" s="99">
        <v>1586.7</v>
      </c>
      <c r="AI40" s="100">
        <f t="shared" si="6"/>
        <v>6511182.120000001</v>
      </c>
      <c r="AJ40" s="100">
        <f t="shared" si="7"/>
        <v>0</v>
      </c>
      <c r="AK40" s="100">
        <v>0</v>
      </c>
      <c r="AL40" s="100">
        <v>24290</v>
      </c>
      <c r="AM40" s="100">
        <v>0</v>
      </c>
      <c r="AN40" s="100">
        <v>0</v>
      </c>
      <c r="AO40" s="100">
        <f>IFERROR(AF40*20+(((AJ40/AH40)/2)*20),0)</f>
        <v>82072</v>
      </c>
      <c r="AP40" s="100">
        <f t="shared" si="8"/>
        <v>330878</v>
      </c>
      <c r="AQ40" s="101">
        <f t="shared" si="9"/>
        <v>6948423</v>
      </c>
      <c r="AR40" s="101">
        <v>0</v>
      </c>
      <c r="AS40" s="101">
        <v>0</v>
      </c>
      <c r="AT40" s="102" t="s">
        <v>33</v>
      </c>
      <c r="AU40" s="109">
        <v>4</v>
      </c>
      <c r="AV40" s="100">
        <v>3</v>
      </c>
      <c r="AW40" s="105"/>
      <c r="AX40" s="106">
        <f t="shared" si="10"/>
        <v>1.70313870747637</v>
      </c>
      <c r="AY40" s="101">
        <f t="shared" si="11"/>
        <v>110895</v>
      </c>
      <c r="AZ40" s="107"/>
      <c r="BA40" s="94">
        <v>45387.677083333336</v>
      </c>
      <c r="BB40" s="94">
        <v>45387.680555555555</v>
      </c>
      <c r="BC40" s="94">
        <v>45387.6875</v>
      </c>
      <c r="BD40" s="94">
        <v>45387.904861111114</v>
      </c>
      <c r="BE40" s="95">
        <f t="shared" si="12"/>
        <v>0.22777777777810115</v>
      </c>
      <c r="BF40" s="95">
        <v>9.7222222222222224E-3</v>
      </c>
      <c r="BG40" s="95">
        <v>9.7222222222222224E-2</v>
      </c>
      <c r="BH40" s="95">
        <f t="shared" si="13"/>
        <v>3.4722222189884633E-3</v>
      </c>
      <c r="BI40" s="95">
        <f t="shared" si="13"/>
        <v>6.9444444452528842E-3</v>
      </c>
      <c r="BJ40" s="95">
        <f t="shared" si="13"/>
        <v>0.21736111111385981</v>
      </c>
      <c r="BK40" s="95">
        <f t="shared" si="14"/>
        <v>0.22430555555911269</v>
      </c>
      <c r="BL40" s="95">
        <f t="shared" si="15"/>
        <v>0.11736111111466825</v>
      </c>
      <c r="BM40" s="95">
        <f t="shared" si="16"/>
        <v>1.9444444444767811E-2</v>
      </c>
      <c r="BN40" s="110"/>
    </row>
    <row r="41" spans="1:66" s="8" customFormat="1" ht="12.75" customHeight="1" x14ac:dyDescent="0.25">
      <c r="A41" s="90">
        <v>11</v>
      </c>
      <c r="B41" s="90">
        <v>11</v>
      </c>
      <c r="C41" s="90">
        <v>4</v>
      </c>
      <c r="D41" s="90" t="s">
        <v>113</v>
      </c>
      <c r="E41" s="91" t="s">
        <v>123</v>
      </c>
      <c r="F41" s="90" t="s">
        <v>29</v>
      </c>
      <c r="G41" s="90" t="s">
        <v>8</v>
      </c>
      <c r="H41" s="90" t="s">
        <v>124</v>
      </c>
      <c r="I41" s="92" t="s">
        <v>139</v>
      </c>
      <c r="J41" s="93"/>
      <c r="K41" s="92" t="s">
        <v>122</v>
      </c>
      <c r="L41" s="92">
        <v>261005686</v>
      </c>
      <c r="M41" s="93">
        <v>45388</v>
      </c>
      <c r="N41" s="94">
        <v>45388.197916666664</v>
      </c>
      <c r="O41" s="94">
        <v>45388.197916666664</v>
      </c>
      <c r="P41" s="94">
        <v>45388.204861111109</v>
      </c>
      <c r="Q41" s="94">
        <v>45388.395833333336</v>
      </c>
      <c r="R41" s="114" t="s">
        <v>118</v>
      </c>
      <c r="S41" s="114" t="s">
        <v>118</v>
      </c>
      <c r="T41" s="114">
        <v>45388.416666666664</v>
      </c>
      <c r="U41" s="114">
        <v>45388.510416666664</v>
      </c>
      <c r="V41" s="95">
        <f t="shared" si="0"/>
        <v>0.19791666667151731</v>
      </c>
      <c r="W41" s="95">
        <v>0.20833333333333334</v>
      </c>
      <c r="X41" s="95" t="str">
        <f t="shared" si="1"/>
        <v>00:00</v>
      </c>
      <c r="Y41" s="96">
        <v>0</v>
      </c>
      <c r="Z41" s="96">
        <v>59</v>
      </c>
      <c r="AA41" s="96">
        <f t="shared" si="2"/>
        <v>59</v>
      </c>
      <c r="AB41" s="97">
        <f t="shared" si="3"/>
        <v>0</v>
      </c>
      <c r="AC41" s="97">
        <f t="shared" si="4"/>
        <v>4002.0700000000006</v>
      </c>
      <c r="AD41" s="98">
        <v>4002.07</v>
      </c>
      <c r="AE41" s="98">
        <v>4100.3</v>
      </c>
      <c r="AF41" s="98">
        <v>4103.3999999999996</v>
      </c>
      <c r="AG41" s="98">
        <f t="shared" si="5"/>
        <v>101.32999999999947</v>
      </c>
      <c r="AH41" s="99">
        <v>797.2</v>
      </c>
      <c r="AI41" s="100">
        <f t="shared" si="6"/>
        <v>3271230.48</v>
      </c>
      <c r="AJ41" s="100">
        <f t="shared" si="7"/>
        <v>0</v>
      </c>
      <c r="AK41" s="100">
        <v>0</v>
      </c>
      <c r="AL41" s="100">
        <v>24290</v>
      </c>
      <c r="AM41" s="100">
        <v>0</v>
      </c>
      <c r="AN41" s="100">
        <v>0</v>
      </c>
      <c r="AO41" s="100">
        <v>0</v>
      </c>
      <c r="AP41" s="100">
        <f t="shared" si="8"/>
        <v>164777</v>
      </c>
      <c r="AQ41" s="101">
        <f t="shared" si="9"/>
        <v>3460298</v>
      </c>
      <c r="AR41" s="101">
        <v>0</v>
      </c>
      <c r="AS41" s="101">
        <v>0</v>
      </c>
      <c r="AT41" s="102" t="s">
        <v>33</v>
      </c>
      <c r="AU41" s="109">
        <v>4</v>
      </c>
      <c r="AV41" s="100">
        <v>3.5</v>
      </c>
      <c r="AW41" s="105"/>
      <c r="AX41" s="106">
        <f t="shared" si="10"/>
        <v>2.4694156065701489</v>
      </c>
      <c r="AY41" s="101">
        <f t="shared" si="11"/>
        <v>80781</v>
      </c>
      <c r="AZ41" s="107"/>
      <c r="BA41" s="94">
        <v>45388.197916666664</v>
      </c>
      <c r="BB41" s="94">
        <v>45388.204861111109</v>
      </c>
      <c r="BC41" s="94">
        <v>45388.204861111109</v>
      </c>
      <c r="BD41" s="94">
        <v>45388.333333333336</v>
      </c>
      <c r="BE41" s="95">
        <f t="shared" si="12"/>
        <v>0.13541666667151731</v>
      </c>
      <c r="BF41" s="95">
        <v>0</v>
      </c>
      <c r="BG41" s="95">
        <v>0</v>
      </c>
      <c r="BH41" s="95">
        <f t="shared" si="13"/>
        <v>6.9444444452528842E-3</v>
      </c>
      <c r="BI41" s="95">
        <f t="shared" si="13"/>
        <v>0</v>
      </c>
      <c r="BJ41" s="95">
        <f t="shared" si="13"/>
        <v>0.12847222222626442</v>
      </c>
      <c r="BK41" s="95">
        <f t="shared" si="14"/>
        <v>0.12847222222626442</v>
      </c>
      <c r="BL41" s="95">
        <f t="shared" si="15"/>
        <v>0.12847222222626442</v>
      </c>
      <c r="BM41" s="95" t="str">
        <f t="shared" si="16"/>
        <v>00:00</v>
      </c>
      <c r="BN41" s="110"/>
    </row>
    <row r="42" spans="1:66" s="8" customFormat="1" ht="12.75" customHeight="1" x14ac:dyDescent="0.25">
      <c r="A42" s="90">
        <v>12</v>
      </c>
      <c r="B42" s="90">
        <v>12</v>
      </c>
      <c r="C42" s="90">
        <v>2</v>
      </c>
      <c r="D42" s="90" t="s">
        <v>113</v>
      </c>
      <c r="E42" s="91" t="s">
        <v>140</v>
      </c>
      <c r="F42" s="90" t="s">
        <v>25</v>
      </c>
      <c r="G42" s="90" t="s">
        <v>12</v>
      </c>
      <c r="H42" s="90" t="s">
        <v>115</v>
      </c>
      <c r="I42" s="92" t="s">
        <v>141</v>
      </c>
      <c r="J42" s="93">
        <v>45388</v>
      </c>
      <c r="K42" s="92" t="s">
        <v>122</v>
      </c>
      <c r="L42" s="92">
        <v>282000887</v>
      </c>
      <c r="M42" s="93">
        <v>45389</v>
      </c>
      <c r="N42" s="94">
        <v>45389.083333333336</v>
      </c>
      <c r="O42" s="94">
        <v>45389.083333333336</v>
      </c>
      <c r="P42" s="94">
        <v>45389.114583333336</v>
      </c>
      <c r="Q42" s="94">
        <v>45389.28125</v>
      </c>
      <c r="R42" s="114" t="s">
        <v>118</v>
      </c>
      <c r="S42" s="114" t="s">
        <v>118</v>
      </c>
      <c r="T42" s="114">
        <v>45389.3125</v>
      </c>
      <c r="U42" s="114">
        <v>45389.393750000003</v>
      </c>
      <c r="V42" s="95">
        <f t="shared" si="0"/>
        <v>0.19791666666424135</v>
      </c>
      <c r="W42" s="95">
        <v>0.20833333333333334</v>
      </c>
      <c r="X42" s="95" t="str">
        <f t="shared" si="1"/>
        <v>00:00</v>
      </c>
      <c r="Y42" s="96">
        <v>0</v>
      </c>
      <c r="Z42" s="96">
        <v>59</v>
      </c>
      <c r="AA42" s="96">
        <f t="shared" si="2"/>
        <v>59</v>
      </c>
      <c r="AB42" s="97">
        <f t="shared" si="3"/>
        <v>0</v>
      </c>
      <c r="AC42" s="97">
        <f t="shared" si="4"/>
        <v>3962.68</v>
      </c>
      <c r="AD42" s="98">
        <v>3962.68</v>
      </c>
      <c r="AE42" s="98">
        <v>4113.1000000000004</v>
      </c>
      <c r="AF42" s="98">
        <v>4113.2</v>
      </c>
      <c r="AG42" s="98">
        <f t="shared" si="5"/>
        <v>150.51999999999998</v>
      </c>
      <c r="AH42" s="99">
        <v>1586.7</v>
      </c>
      <c r="AI42" s="100">
        <f t="shared" si="6"/>
        <v>6526414.4399999995</v>
      </c>
      <c r="AJ42" s="100">
        <f t="shared" si="7"/>
        <v>0</v>
      </c>
      <c r="AK42" s="100">
        <v>0</v>
      </c>
      <c r="AL42" s="100">
        <v>0</v>
      </c>
      <c r="AM42" s="100">
        <v>0</v>
      </c>
      <c r="AN42" s="100">
        <v>0</v>
      </c>
      <c r="AO42" s="100">
        <f>IFERROR(AF42*20+(((AJ42/AH42)/2)*20),0)</f>
        <v>82264</v>
      </c>
      <c r="AP42" s="100">
        <f t="shared" si="8"/>
        <v>330434</v>
      </c>
      <c r="AQ42" s="101">
        <f t="shared" si="9"/>
        <v>6939113</v>
      </c>
      <c r="AR42" s="101">
        <v>0</v>
      </c>
      <c r="AS42" s="101">
        <v>0</v>
      </c>
      <c r="AT42" s="102" t="s">
        <v>33</v>
      </c>
      <c r="AU42" s="109" t="s">
        <v>118</v>
      </c>
      <c r="AV42" s="100">
        <v>0</v>
      </c>
      <c r="AW42" s="105"/>
      <c r="AX42" s="106">
        <f t="shared" si="10"/>
        <v>3.6594379072255179</v>
      </c>
      <c r="AY42" s="101">
        <f t="shared" si="11"/>
        <v>238831</v>
      </c>
      <c r="AZ42" s="107"/>
      <c r="BA42" s="94">
        <v>45389.083333333336</v>
      </c>
      <c r="BB42" s="94">
        <v>45389.114583333336</v>
      </c>
      <c r="BC42" s="94">
        <v>45389.119444444441</v>
      </c>
      <c r="BD42" s="94">
        <v>45389.267361111109</v>
      </c>
      <c r="BE42" s="95">
        <f t="shared" si="12"/>
        <v>0.18402777777373558</v>
      </c>
      <c r="BF42" s="95">
        <v>0</v>
      </c>
      <c r="BG42" s="95">
        <v>1.5972222222222221E-2</v>
      </c>
      <c r="BH42" s="95">
        <f t="shared" si="13"/>
        <v>3.125E-2</v>
      </c>
      <c r="BI42" s="95">
        <f t="shared" si="13"/>
        <v>4.8611111051286571E-3</v>
      </c>
      <c r="BJ42" s="95">
        <f t="shared" si="13"/>
        <v>0.14791666666860692</v>
      </c>
      <c r="BK42" s="95">
        <f t="shared" si="14"/>
        <v>0.15277777777373558</v>
      </c>
      <c r="BL42" s="95">
        <f t="shared" si="15"/>
        <v>0.13680555555151336</v>
      </c>
      <c r="BM42" s="95" t="str">
        <f t="shared" si="16"/>
        <v>00:00</v>
      </c>
      <c r="BN42" s="110"/>
    </row>
    <row r="43" spans="1:66" s="8" customFormat="1" ht="12.75" customHeight="1" x14ac:dyDescent="0.25">
      <c r="A43" s="90">
        <v>13</v>
      </c>
      <c r="B43" s="90">
        <v>13</v>
      </c>
      <c r="C43" s="90">
        <v>5</v>
      </c>
      <c r="D43" s="90" t="s">
        <v>113</v>
      </c>
      <c r="E43" s="91" t="s">
        <v>123</v>
      </c>
      <c r="F43" s="90" t="s">
        <v>29</v>
      </c>
      <c r="G43" s="90" t="s">
        <v>8</v>
      </c>
      <c r="H43" s="90" t="s">
        <v>124</v>
      </c>
      <c r="I43" s="92" t="s">
        <v>142</v>
      </c>
      <c r="J43" s="93"/>
      <c r="K43" s="92" t="s">
        <v>122</v>
      </c>
      <c r="L43" s="92">
        <v>461000171</v>
      </c>
      <c r="M43" s="93">
        <v>45389</v>
      </c>
      <c r="N43" s="94">
        <v>45389.625</v>
      </c>
      <c r="O43" s="94">
        <v>45389.625</v>
      </c>
      <c r="P43" s="94">
        <v>45389.631944444445</v>
      </c>
      <c r="Q43" s="94">
        <v>45389.802083333336</v>
      </c>
      <c r="R43" s="114" t="s">
        <v>118</v>
      </c>
      <c r="S43" s="114" t="s">
        <v>118</v>
      </c>
      <c r="T43" s="114">
        <v>45389.8125</v>
      </c>
      <c r="U43" s="114">
        <v>45389.874305555553</v>
      </c>
      <c r="V43" s="95">
        <f t="shared" si="0"/>
        <v>0.17708333333575865</v>
      </c>
      <c r="W43" s="95">
        <v>0.20833333333333334</v>
      </c>
      <c r="X43" s="95" t="str">
        <f t="shared" si="1"/>
        <v>00:00</v>
      </c>
      <c r="Y43" s="96">
        <v>0</v>
      </c>
      <c r="Z43" s="96">
        <v>59</v>
      </c>
      <c r="AA43" s="96">
        <f t="shared" si="2"/>
        <v>59</v>
      </c>
      <c r="AB43" s="97">
        <f t="shared" si="3"/>
        <v>0</v>
      </c>
      <c r="AC43" s="97">
        <f t="shared" si="4"/>
        <v>3960.33</v>
      </c>
      <c r="AD43" s="98">
        <v>3960.33</v>
      </c>
      <c r="AE43" s="98">
        <v>4089</v>
      </c>
      <c r="AF43" s="98">
        <v>4090.8</v>
      </c>
      <c r="AG43" s="98">
        <f t="shared" si="5"/>
        <v>130.47000000000025</v>
      </c>
      <c r="AH43" s="99">
        <v>797.2</v>
      </c>
      <c r="AI43" s="100">
        <f t="shared" si="6"/>
        <v>3261185.7600000002</v>
      </c>
      <c r="AJ43" s="100">
        <f>(0.4*AH43)*2</f>
        <v>637.7600000000001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f t="shared" si="8"/>
        <v>163092</v>
      </c>
      <c r="AQ43" s="101">
        <f t="shared" si="9"/>
        <v>3424916</v>
      </c>
      <c r="AR43" s="101">
        <v>0</v>
      </c>
      <c r="AS43" s="101">
        <v>0</v>
      </c>
      <c r="AT43" s="102" t="s">
        <v>33</v>
      </c>
      <c r="AU43" s="109" t="s">
        <v>118</v>
      </c>
      <c r="AV43" s="100">
        <v>0</v>
      </c>
      <c r="AW43" s="105"/>
      <c r="AX43" s="106">
        <f t="shared" si="10"/>
        <v>3.1893517160457669</v>
      </c>
      <c r="AY43" s="101">
        <f t="shared" si="11"/>
        <v>104011</v>
      </c>
      <c r="AZ43" s="107"/>
      <c r="BA43" s="94">
        <v>45389.625</v>
      </c>
      <c r="BB43" s="94">
        <v>45389.631944444445</v>
      </c>
      <c r="BC43" s="94">
        <v>45389.635416666664</v>
      </c>
      <c r="BD43" s="94">
        <v>45389.760416666664</v>
      </c>
      <c r="BE43" s="95">
        <f t="shared" si="12"/>
        <v>0.13541666666424135</v>
      </c>
      <c r="BF43" s="95">
        <v>0</v>
      </c>
      <c r="BG43" s="95">
        <v>3.472222222222222E-3</v>
      </c>
      <c r="BH43" s="95">
        <f t="shared" si="13"/>
        <v>6.9444444452528842E-3</v>
      </c>
      <c r="BI43" s="95">
        <f t="shared" si="13"/>
        <v>3.4722222189884633E-3</v>
      </c>
      <c r="BJ43" s="95">
        <f t="shared" si="13"/>
        <v>0.125</v>
      </c>
      <c r="BK43" s="95">
        <f t="shared" si="14"/>
        <v>0.12847222221898846</v>
      </c>
      <c r="BL43" s="95">
        <f t="shared" si="15"/>
        <v>0.12499999999676624</v>
      </c>
      <c r="BM43" s="95" t="str">
        <f t="shared" si="16"/>
        <v>00:00</v>
      </c>
      <c r="BN43" s="110"/>
    </row>
    <row r="44" spans="1:66" s="8" customFormat="1" ht="12.75" customHeight="1" x14ac:dyDescent="0.25">
      <c r="A44" s="90">
        <v>14</v>
      </c>
      <c r="B44" s="90">
        <v>14</v>
      </c>
      <c r="C44" s="90">
        <v>4</v>
      </c>
      <c r="D44" s="90" t="s">
        <v>113</v>
      </c>
      <c r="E44" s="91" t="s">
        <v>126</v>
      </c>
      <c r="F44" s="90" t="s">
        <v>32</v>
      </c>
      <c r="G44" s="90" t="s">
        <v>15</v>
      </c>
      <c r="H44" s="90" t="s">
        <v>120</v>
      </c>
      <c r="I44" s="92" t="s">
        <v>143</v>
      </c>
      <c r="J44" s="93">
        <v>45389</v>
      </c>
      <c r="K44" s="92" t="s">
        <v>117</v>
      </c>
      <c r="L44" s="92">
        <v>241000393</v>
      </c>
      <c r="M44" s="93">
        <v>45390</v>
      </c>
      <c r="N44" s="94">
        <v>45389.802083333336</v>
      </c>
      <c r="O44" s="94">
        <v>45389.802083333336</v>
      </c>
      <c r="P44" s="94">
        <v>45389.805555555555</v>
      </c>
      <c r="Q44" s="94">
        <v>45389.989583333336</v>
      </c>
      <c r="R44" s="114" t="s">
        <v>118</v>
      </c>
      <c r="S44" s="114" t="s">
        <v>118</v>
      </c>
      <c r="T44" s="114">
        <v>45390.020833333336</v>
      </c>
      <c r="U44" s="114">
        <v>45390.149305555555</v>
      </c>
      <c r="V44" s="95">
        <f t="shared" si="0"/>
        <v>0.1875</v>
      </c>
      <c r="W44" s="95">
        <v>0.20833333333333334</v>
      </c>
      <c r="X44" s="95" t="str">
        <f t="shared" si="1"/>
        <v>00:00</v>
      </c>
      <c r="Y44" s="96">
        <v>0</v>
      </c>
      <c r="Z44" s="96">
        <v>58</v>
      </c>
      <c r="AA44" s="96">
        <f t="shared" si="2"/>
        <v>58</v>
      </c>
      <c r="AB44" s="97">
        <f t="shared" si="3"/>
        <v>0</v>
      </c>
      <c r="AC44" s="97">
        <f t="shared" si="4"/>
        <v>3984.57</v>
      </c>
      <c r="AD44" s="98">
        <v>3984.57</v>
      </c>
      <c r="AE44" s="98">
        <v>4030.8</v>
      </c>
      <c r="AF44" s="98">
        <v>4042.2</v>
      </c>
      <c r="AG44" s="98">
        <f t="shared" si="5"/>
        <v>57.629999999999654</v>
      </c>
      <c r="AH44" s="99">
        <v>1398.7</v>
      </c>
      <c r="AI44" s="100">
        <f t="shared" si="6"/>
        <v>5653825.1399999997</v>
      </c>
      <c r="AJ44" s="100">
        <f t="shared" ref="AJ44:AJ52" si="17">(0*AH44)*2</f>
        <v>0</v>
      </c>
      <c r="AK44" s="100">
        <v>0</v>
      </c>
      <c r="AL44" s="100">
        <v>24140</v>
      </c>
      <c r="AM44" s="100">
        <v>0</v>
      </c>
      <c r="AN44" s="100">
        <v>0</v>
      </c>
      <c r="AO44" s="100">
        <v>0</v>
      </c>
      <c r="AP44" s="100">
        <f t="shared" si="8"/>
        <v>283899</v>
      </c>
      <c r="AQ44" s="101">
        <f t="shared" si="9"/>
        <v>5961865</v>
      </c>
      <c r="AR44" s="101">
        <v>0</v>
      </c>
      <c r="AS44" s="101">
        <v>0</v>
      </c>
      <c r="AT44" s="102" t="s">
        <v>33</v>
      </c>
      <c r="AU44" s="109">
        <v>7</v>
      </c>
      <c r="AV44" s="100">
        <v>5</v>
      </c>
      <c r="AW44" s="105"/>
      <c r="AX44" s="106">
        <f t="shared" si="10"/>
        <v>1.4257087724506372</v>
      </c>
      <c r="AY44" s="101">
        <f t="shared" si="11"/>
        <v>80608</v>
      </c>
      <c r="AZ44" s="107"/>
      <c r="BA44" s="94">
        <v>45389.802083333336</v>
      </c>
      <c r="BB44" s="94">
        <v>45389.805555555555</v>
      </c>
      <c r="BC44" s="94">
        <v>45389.805555555555</v>
      </c>
      <c r="BD44" s="94">
        <v>45389.999305555553</v>
      </c>
      <c r="BE44" s="95">
        <f t="shared" si="12"/>
        <v>0.19722222221753327</v>
      </c>
      <c r="BF44" s="95">
        <v>3.125E-2</v>
      </c>
      <c r="BG44" s="95">
        <v>5.8333333333333334E-2</v>
      </c>
      <c r="BH44" s="95">
        <f t="shared" si="13"/>
        <v>3.4722222189884633E-3</v>
      </c>
      <c r="BI44" s="95">
        <f t="shared" si="13"/>
        <v>0</v>
      </c>
      <c r="BJ44" s="95">
        <f t="shared" si="13"/>
        <v>0.19374999999854481</v>
      </c>
      <c r="BK44" s="95">
        <f t="shared" si="14"/>
        <v>0.19374999999854481</v>
      </c>
      <c r="BL44" s="95">
        <f t="shared" si="15"/>
        <v>0.10416666666521147</v>
      </c>
      <c r="BM44" s="95" t="str">
        <f t="shared" si="16"/>
        <v>00:00</v>
      </c>
      <c r="BN44" s="110"/>
    </row>
    <row r="45" spans="1:66" s="8" customFormat="1" ht="12.75" customHeight="1" x14ac:dyDescent="0.25">
      <c r="A45" s="90">
        <v>15</v>
      </c>
      <c r="B45" s="90">
        <v>15</v>
      </c>
      <c r="C45" s="90">
        <v>5</v>
      </c>
      <c r="D45" s="90" t="s">
        <v>113</v>
      </c>
      <c r="E45" s="91" t="s">
        <v>126</v>
      </c>
      <c r="F45" s="90" t="s">
        <v>32</v>
      </c>
      <c r="G45" s="90" t="s">
        <v>15</v>
      </c>
      <c r="H45" s="90" t="s">
        <v>135</v>
      </c>
      <c r="I45" s="92" t="s">
        <v>144</v>
      </c>
      <c r="J45" s="93">
        <v>45390</v>
      </c>
      <c r="K45" s="92" t="s">
        <v>117</v>
      </c>
      <c r="L45" s="92">
        <v>261005687</v>
      </c>
      <c r="M45" s="93">
        <v>45391</v>
      </c>
      <c r="N45" s="94">
        <v>45390.663194444445</v>
      </c>
      <c r="O45" s="94">
        <v>45390.663194444445</v>
      </c>
      <c r="P45" s="94">
        <v>45390.670138888891</v>
      </c>
      <c r="Q45" s="94">
        <v>45390.854166666664</v>
      </c>
      <c r="R45" s="114" t="s">
        <v>118</v>
      </c>
      <c r="S45" s="114" t="s">
        <v>118</v>
      </c>
      <c r="T45" s="114">
        <v>45390.895833333336</v>
      </c>
      <c r="U45" s="114">
        <v>45391.010416666664</v>
      </c>
      <c r="V45" s="95">
        <f t="shared" si="0"/>
        <v>0.19097222221898846</v>
      </c>
      <c r="W45" s="95">
        <v>0.20833333333333334</v>
      </c>
      <c r="X45" s="95" t="str">
        <f t="shared" si="1"/>
        <v>00:00</v>
      </c>
      <c r="Y45" s="96">
        <v>1</v>
      </c>
      <c r="Z45" s="96">
        <v>57</v>
      </c>
      <c r="AA45" s="96">
        <f t="shared" si="2"/>
        <v>58</v>
      </c>
      <c r="AB45" s="97">
        <f t="shared" si="3"/>
        <v>68.349482758620695</v>
      </c>
      <c r="AC45" s="97">
        <f t="shared" si="4"/>
        <v>3895.9205172413795</v>
      </c>
      <c r="AD45" s="98">
        <v>3964.27</v>
      </c>
      <c r="AE45" s="98">
        <v>4037.4</v>
      </c>
      <c r="AF45" s="98">
        <v>4041.6</v>
      </c>
      <c r="AG45" s="98">
        <f t="shared" si="5"/>
        <v>77.329999999999927</v>
      </c>
      <c r="AH45" s="99">
        <v>797.2</v>
      </c>
      <c r="AI45" s="100">
        <f t="shared" si="6"/>
        <v>3221963.52</v>
      </c>
      <c r="AJ45" s="100">
        <f t="shared" si="17"/>
        <v>0</v>
      </c>
      <c r="AK45" s="100">
        <v>0</v>
      </c>
      <c r="AL45" s="100">
        <v>24140</v>
      </c>
      <c r="AM45" s="100">
        <v>0</v>
      </c>
      <c r="AN45" s="100">
        <v>0</v>
      </c>
      <c r="AO45" s="100">
        <v>0</v>
      </c>
      <c r="AP45" s="100">
        <f t="shared" si="8"/>
        <v>162306</v>
      </c>
      <c r="AQ45" s="101">
        <f t="shared" si="9"/>
        <v>3408410</v>
      </c>
      <c r="AR45" s="101">
        <v>0</v>
      </c>
      <c r="AS45" s="101">
        <v>0</v>
      </c>
      <c r="AT45" s="102" t="s">
        <v>33</v>
      </c>
      <c r="AU45" s="109">
        <v>1</v>
      </c>
      <c r="AV45" s="100">
        <v>1</v>
      </c>
      <c r="AW45" s="105"/>
      <c r="AX45" s="106">
        <f t="shared" si="10"/>
        <v>1.9133511480601724</v>
      </c>
      <c r="AY45" s="101">
        <f t="shared" si="11"/>
        <v>61648</v>
      </c>
      <c r="AZ45" s="107"/>
      <c r="BA45" s="94">
        <v>45390.663194444445</v>
      </c>
      <c r="BB45" s="94">
        <v>45390.670138888891</v>
      </c>
      <c r="BC45" s="94">
        <v>45390.670138888891</v>
      </c>
      <c r="BD45" s="94">
        <v>45390.818055555559</v>
      </c>
      <c r="BE45" s="95">
        <f t="shared" si="12"/>
        <v>0.15486111111385981</v>
      </c>
      <c r="BF45" s="95">
        <v>0</v>
      </c>
      <c r="BG45" s="95">
        <v>4.4444444444444446E-2</v>
      </c>
      <c r="BH45" s="95">
        <f t="shared" si="13"/>
        <v>6.9444444452528842E-3</v>
      </c>
      <c r="BI45" s="95">
        <f t="shared" si="13"/>
        <v>0</v>
      </c>
      <c r="BJ45" s="95">
        <f t="shared" si="13"/>
        <v>0.14791666666860692</v>
      </c>
      <c r="BK45" s="95">
        <f t="shared" si="14"/>
        <v>0.14791666666860692</v>
      </c>
      <c r="BL45" s="95">
        <f t="shared" si="15"/>
        <v>0.10347222222416247</v>
      </c>
      <c r="BM45" s="95" t="str">
        <f t="shared" si="16"/>
        <v>00:00</v>
      </c>
      <c r="BN45" s="110"/>
    </row>
    <row r="46" spans="1:66" s="8" customFormat="1" ht="12.75" customHeight="1" x14ac:dyDescent="0.25">
      <c r="A46" s="90">
        <v>16</v>
      </c>
      <c r="B46" s="90">
        <v>16</v>
      </c>
      <c r="C46" s="90">
        <v>6</v>
      </c>
      <c r="D46" s="90" t="s">
        <v>113</v>
      </c>
      <c r="E46" s="91" t="s">
        <v>123</v>
      </c>
      <c r="F46" s="90" t="s">
        <v>29</v>
      </c>
      <c r="G46" s="90" t="s">
        <v>8</v>
      </c>
      <c r="H46" s="90" t="s">
        <v>124</v>
      </c>
      <c r="I46" s="92" t="s">
        <v>145</v>
      </c>
      <c r="J46" s="93"/>
      <c r="K46" s="92" t="s">
        <v>122</v>
      </c>
      <c r="L46" s="92">
        <v>461000172</v>
      </c>
      <c r="M46" s="93">
        <v>45391</v>
      </c>
      <c r="N46" s="94">
        <v>45390.826388888891</v>
      </c>
      <c r="O46" s="94">
        <v>45390.826388888891</v>
      </c>
      <c r="P46" s="94">
        <v>45390.833333333336</v>
      </c>
      <c r="Q46" s="94">
        <v>45390.993055555555</v>
      </c>
      <c r="R46" s="114" t="s">
        <v>118</v>
      </c>
      <c r="S46" s="114" t="s">
        <v>118</v>
      </c>
      <c r="T46" s="114">
        <v>45390.993055555555</v>
      </c>
      <c r="U46" s="114">
        <v>45391.192361111112</v>
      </c>
      <c r="V46" s="95">
        <f t="shared" si="0"/>
        <v>0.16666666666424135</v>
      </c>
      <c r="W46" s="95">
        <v>0.20833333333333334</v>
      </c>
      <c r="X46" s="95" t="str">
        <f t="shared" si="1"/>
        <v>00:00</v>
      </c>
      <c r="Y46" s="96">
        <v>0</v>
      </c>
      <c r="Z46" s="96">
        <v>58</v>
      </c>
      <c r="AA46" s="96">
        <f t="shared" si="2"/>
        <v>58</v>
      </c>
      <c r="AB46" s="97">
        <f t="shared" si="3"/>
        <v>0</v>
      </c>
      <c r="AC46" s="97">
        <f t="shared" si="4"/>
        <v>3886.55</v>
      </c>
      <c r="AD46" s="98">
        <v>3886.55</v>
      </c>
      <c r="AE46" s="98">
        <v>4009.7</v>
      </c>
      <c r="AF46" s="98">
        <v>4011.6</v>
      </c>
      <c r="AG46" s="98">
        <f t="shared" si="5"/>
        <v>125.04999999999973</v>
      </c>
      <c r="AH46" s="99">
        <v>797.2</v>
      </c>
      <c r="AI46" s="100">
        <f t="shared" si="6"/>
        <v>3198047.52</v>
      </c>
      <c r="AJ46" s="100">
        <f t="shared" si="17"/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f t="shared" si="8"/>
        <v>159903</v>
      </c>
      <c r="AQ46" s="101">
        <f t="shared" si="9"/>
        <v>3357951</v>
      </c>
      <c r="AR46" s="101">
        <v>0</v>
      </c>
      <c r="AS46" s="101">
        <v>0</v>
      </c>
      <c r="AT46" s="102" t="s">
        <v>33</v>
      </c>
      <c r="AU46" s="109" t="s">
        <v>118</v>
      </c>
      <c r="AV46" s="100">
        <v>0</v>
      </c>
      <c r="AW46" s="105"/>
      <c r="AX46" s="106">
        <f t="shared" si="10"/>
        <v>3.1172100907368563</v>
      </c>
      <c r="AY46" s="101">
        <f t="shared" si="11"/>
        <v>99690</v>
      </c>
      <c r="AZ46" s="107"/>
      <c r="BA46" s="94">
        <v>45390.826388888891</v>
      </c>
      <c r="BB46" s="94">
        <v>45390.833333333336</v>
      </c>
      <c r="BC46" s="94">
        <v>45390.850694444445</v>
      </c>
      <c r="BD46" s="94">
        <v>45390.980555555558</v>
      </c>
      <c r="BE46" s="95">
        <f t="shared" si="12"/>
        <v>0.15416666666715173</v>
      </c>
      <c r="BF46" s="95">
        <v>0</v>
      </c>
      <c r="BG46" s="95">
        <v>1.7361111111111112E-2</v>
      </c>
      <c r="BH46" s="95">
        <f t="shared" si="13"/>
        <v>6.9444444452528842E-3</v>
      </c>
      <c r="BI46" s="95">
        <f t="shared" si="13"/>
        <v>1.7361111109494232E-2</v>
      </c>
      <c r="BJ46" s="95">
        <f t="shared" si="13"/>
        <v>0.12986111111240461</v>
      </c>
      <c r="BK46" s="95">
        <f t="shared" si="14"/>
        <v>0.14722222222189885</v>
      </c>
      <c r="BL46" s="95">
        <f t="shared" si="15"/>
        <v>0.12986111111078774</v>
      </c>
      <c r="BM46" s="95" t="str">
        <f t="shared" si="16"/>
        <v>00:00</v>
      </c>
      <c r="BN46" s="110"/>
    </row>
    <row r="47" spans="1:66" s="8" customFormat="1" ht="12.75" customHeight="1" x14ac:dyDescent="0.25">
      <c r="A47" s="90">
        <v>17</v>
      </c>
      <c r="B47" s="90">
        <v>17</v>
      </c>
      <c r="C47" s="90">
        <v>6</v>
      </c>
      <c r="D47" s="90" t="s">
        <v>113</v>
      </c>
      <c r="E47" s="91" t="s">
        <v>126</v>
      </c>
      <c r="F47" s="90" t="s">
        <v>32</v>
      </c>
      <c r="G47" s="90" t="s">
        <v>15</v>
      </c>
      <c r="H47" s="90" t="s">
        <v>146</v>
      </c>
      <c r="I47" s="92" t="s">
        <v>147</v>
      </c>
      <c r="J47" s="93">
        <v>45391</v>
      </c>
      <c r="K47" s="92" t="s">
        <v>117</v>
      </c>
      <c r="L47" s="92">
        <v>251000050</v>
      </c>
      <c r="M47" s="93">
        <v>45391</v>
      </c>
      <c r="N47" s="94">
        <v>45391.166666666664</v>
      </c>
      <c r="O47" s="94">
        <v>45391.166666666664</v>
      </c>
      <c r="P47" s="94">
        <v>45391.170138888891</v>
      </c>
      <c r="Q47" s="94">
        <v>45391.375</v>
      </c>
      <c r="R47" s="114" t="s">
        <v>118</v>
      </c>
      <c r="S47" s="114" t="s">
        <v>118</v>
      </c>
      <c r="T47" s="114">
        <v>45391.416666666664</v>
      </c>
      <c r="U47" s="114">
        <v>45391.492361111108</v>
      </c>
      <c r="V47" s="95">
        <f t="shared" si="0"/>
        <v>0.20833333333575865</v>
      </c>
      <c r="W47" s="95">
        <v>0.20833333333333334</v>
      </c>
      <c r="X47" s="95">
        <f t="shared" si="1"/>
        <v>2.4253099528692701E-12</v>
      </c>
      <c r="Y47" s="96">
        <v>0</v>
      </c>
      <c r="Z47" s="96">
        <v>59</v>
      </c>
      <c r="AA47" s="96">
        <f t="shared" si="2"/>
        <v>59</v>
      </c>
      <c r="AB47" s="97">
        <f t="shared" si="3"/>
        <v>0</v>
      </c>
      <c r="AC47" s="97">
        <f t="shared" si="4"/>
        <v>3984.6800000000003</v>
      </c>
      <c r="AD47" s="98">
        <v>3984.68</v>
      </c>
      <c r="AE47" s="98">
        <v>4103.2</v>
      </c>
      <c r="AF47" s="98">
        <v>4105.3999999999996</v>
      </c>
      <c r="AG47" s="98">
        <f t="shared" si="5"/>
        <v>120.7199999999998</v>
      </c>
      <c r="AH47" s="99">
        <v>1398.7</v>
      </c>
      <c r="AI47" s="100">
        <f t="shared" si="6"/>
        <v>5742222.9799999995</v>
      </c>
      <c r="AJ47" s="100">
        <f t="shared" si="17"/>
        <v>0</v>
      </c>
      <c r="AK47" s="100">
        <v>0</v>
      </c>
      <c r="AL47" s="100">
        <v>0</v>
      </c>
      <c r="AM47" s="100">
        <v>0</v>
      </c>
      <c r="AN47" s="100">
        <v>0</v>
      </c>
      <c r="AO47" s="100">
        <v>0</v>
      </c>
      <c r="AP47" s="100">
        <f t="shared" si="8"/>
        <v>287112</v>
      </c>
      <c r="AQ47" s="101">
        <f t="shared" si="9"/>
        <v>6029335</v>
      </c>
      <c r="AR47" s="101">
        <v>0</v>
      </c>
      <c r="AS47" s="101">
        <v>0</v>
      </c>
      <c r="AT47" s="102" t="s">
        <v>33</v>
      </c>
      <c r="AU47" s="109" t="s">
        <v>118</v>
      </c>
      <c r="AV47" s="100">
        <v>0</v>
      </c>
      <c r="AW47" s="105"/>
      <c r="AX47" s="106">
        <f t="shared" si="10"/>
        <v>2.9405173673698011</v>
      </c>
      <c r="AY47" s="101">
        <f t="shared" si="11"/>
        <v>168852</v>
      </c>
      <c r="AZ47" s="107"/>
      <c r="BA47" s="94">
        <v>45391.166666666664</v>
      </c>
      <c r="BB47" s="94">
        <v>45391.170138888891</v>
      </c>
      <c r="BC47" s="94">
        <v>45391.170138888891</v>
      </c>
      <c r="BD47" s="94">
        <v>45391.39166666667</v>
      </c>
      <c r="BE47" s="95">
        <f t="shared" si="12"/>
        <v>0.22500000000582077</v>
      </c>
      <c r="BF47" s="95">
        <v>0</v>
      </c>
      <c r="BG47" s="95">
        <v>0.11805555555555555</v>
      </c>
      <c r="BH47" s="95">
        <f t="shared" si="13"/>
        <v>3.4722222262644209E-3</v>
      </c>
      <c r="BI47" s="95">
        <f t="shared" si="13"/>
        <v>0</v>
      </c>
      <c r="BJ47" s="95">
        <f t="shared" si="13"/>
        <v>0.22152777777955635</v>
      </c>
      <c r="BK47" s="95">
        <f t="shared" si="14"/>
        <v>0.22152777777955635</v>
      </c>
      <c r="BL47" s="95">
        <f t="shared" si="15"/>
        <v>0.10347222222400079</v>
      </c>
      <c r="BM47" s="95">
        <f t="shared" si="16"/>
        <v>1.6666666672487424E-2</v>
      </c>
      <c r="BN47" s="110"/>
    </row>
    <row r="48" spans="1:66" s="8" customFormat="1" ht="12.75" customHeight="1" x14ac:dyDescent="0.25">
      <c r="A48" s="90">
        <v>18</v>
      </c>
      <c r="B48" s="90">
        <v>18</v>
      </c>
      <c r="C48" s="90">
        <v>1</v>
      </c>
      <c r="D48" s="90" t="s">
        <v>148</v>
      </c>
      <c r="E48" s="91" t="s">
        <v>149</v>
      </c>
      <c r="F48" s="90" t="s">
        <v>16</v>
      </c>
      <c r="G48" s="90" t="s">
        <v>17</v>
      </c>
      <c r="H48" s="90" t="s">
        <v>150</v>
      </c>
      <c r="I48" s="92" t="s">
        <v>151</v>
      </c>
      <c r="J48" s="93">
        <v>45391</v>
      </c>
      <c r="K48" s="92" t="s">
        <v>122</v>
      </c>
      <c r="L48" s="92">
        <v>461000173</v>
      </c>
      <c r="M48" s="93">
        <v>45391</v>
      </c>
      <c r="N48" s="94">
        <v>45391.409722222219</v>
      </c>
      <c r="O48" s="94">
        <v>45391.409722222219</v>
      </c>
      <c r="P48" s="94">
        <v>45391.416666666664</v>
      </c>
      <c r="Q48" s="94">
        <v>45391.604166666664</v>
      </c>
      <c r="R48" s="114" t="s">
        <v>118</v>
      </c>
      <c r="S48" s="114" t="s">
        <v>118</v>
      </c>
      <c r="T48" s="114">
        <v>45391.65625</v>
      </c>
      <c r="U48" s="114">
        <v>45391.741666666669</v>
      </c>
      <c r="V48" s="95">
        <f t="shared" si="0"/>
        <v>0.19444444444525288</v>
      </c>
      <c r="W48" s="95">
        <v>0.20833333333333334</v>
      </c>
      <c r="X48" s="95" t="str">
        <f t="shared" si="1"/>
        <v>00:00</v>
      </c>
      <c r="Y48" s="96">
        <v>1</v>
      </c>
      <c r="Z48" s="96">
        <v>57</v>
      </c>
      <c r="AA48" s="96">
        <f t="shared" si="2"/>
        <v>58</v>
      </c>
      <c r="AB48" s="97">
        <f t="shared" si="3"/>
        <v>68.218793103448277</v>
      </c>
      <c r="AC48" s="97">
        <f t="shared" si="4"/>
        <v>3888.4712068965518</v>
      </c>
      <c r="AD48" s="98">
        <v>3956.69</v>
      </c>
      <c r="AE48" s="98">
        <v>4030.7</v>
      </c>
      <c r="AF48" s="98">
        <v>4032</v>
      </c>
      <c r="AG48" s="98">
        <f t="shared" si="5"/>
        <v>75.309999999999945</v>
      </c>
      <c r="AH48" s="99">
        <v>672.5</v>
      </c>
      <c r="AI48" s="100">
        <f t="shared" si="6"/>
        <v>2711520</v>
      </c>
      <c r="AJ48" s="100">
        <f t="shared" si="17"/>
        <v>0</v>
      </c>
      <c r="AK48" s="100">
        <v>0</v>
      </c>
      <c r="AL48" s="100">
        <v>0</v>
      </c>
      <c r="AM48" s="100">
        <v>0</v>
      </c>
      <c r="AN48" s="100">
        <v>0</v>
      </c>
      <c r="AO48" s="100">
        <v>0</v>
      </c>
      <c r="AP48" s="100">
        <f t="shared" si="8"/>
        <v>135576</v>
      </c>
      <c r="AQ48" s="101">
        <f t="shared" si="9"/>
        <v>2847096</v>
      </c>
      <c r="AR48" s="101">
        <v>0</v>
      </c>
      <c r="AS48" s="101">
        <v>0</v>
      </c>
      <c r="AT48" s="102" t="s">
        <v>33</v>
      </c>
      <c r="AU48" s="109" t="s">
        <v>118</v>
      </c>
      <c r="AV48" s="100">
        <v>0</v>
      </c>
      <c r="AW48" s="105"/>
      <c r="AX48" s="106">
        <f t="shared" si="10"/>
        <v>1.8678075396825384</v>
      </c>
      <c r="AY48" s="101">
        <f t="shared" si="11"/>
        <v>50646</v>
      </c>
      <c r="AZ48" s="107"/>
      <c r="BA48" s="94">
        <v>45391.409722222219</v>
      </c>
      <c r="BB48" s="94">
        <v>45391.416666666664</v>
      </c>
      <c r="BC48" s="94">
        <v>45391.416666666664</v>
      </c>
      <c r="BD48" s="94">
        <v>45391.556944444441</v>
      </c>
      <c r="BE48" s="95">
        <f t="shared" si="12"/>
        <v>0.14722222222189885</v>
      </c>
      <c r="BF48" s="95">
        <v>1.5277777777777777E-2</v>
      </c>
      <c r="BG48" s="95">
        <v>0</v>
      </c>
      <c r="BH48" s="95">
        <f t="shared" si="13"/>
        <v>6.9444444452528842E-3</v>
      </c>
      <c r="BI48" s="95">
        <f t="shared" si="13"/>
        <v>0</v>
      </c>
      <c r="BJ48" s="95">
        <f t="shared" si="13"/>
        <v>0.14027777777664596</v>
      </c>
      <c r="BK48" s="95">
        <f t="shared" si="14"/>
        <v>0.14027777777664596</v>
      </c>
      <c r="BL48" s="95">
        <f t="shared" si="15"/>
        <v>0.12499999999886818</v>
      </c>
      <c r="BM48" s="95" t="str">
        <f t="shared" si="16"/>
        <v>00:00</v>
      </c>
      <c r="BN48" s="110"/>
    </row>
    <row r="49" spans="1:66" s="8" customFormat="1" ht="12.75" customHeight="1" x14ac:dyDescent="0.25">
      <c r="A49" s="115">
        <v>19</v>
      </c>
      <c r="B49" s="115">
        <v>19</v>
      </c>
      <c r="C49" s="115">
        <v>1</v>
      </c>
      <c r="D49" s="115" t="s">
        <v>113</v>
      </c>
      <c r="E49" s="91" t="s">
        <v>152</v>
      </c>
      <c r="F49" s="115" t="s">
        <v>37</v>
      </c>
      <c r="G49" s="115" t="s">
        <v>8</v>
      </c>
      <c r="H49" s="115" t="s">
        <v>153</v>
      </c>
      <c r="I49" s="116" t="s">
        <v>154</v>
      </c>
      <c r="J49" s="117">
        <v>45391</v>
      </c>
      <c r="K49" s="116" t="s">
        <v>117</v>
      </c>
      <c r="L49" s="116">
        <v>482000336</v>
      </c>
      <c r="M49" s="117">
        <v>45392</v>
      </c>
      <c r="N49" s="118">
        <v>45391.666666666664</v>
      </c>
      <c r="O49" s="118">
        <v>45391.666666666664</v>
      </c>
      <c r="P49" s="118">
        <v>45391.680555555555</v>
      </c>
      <c r="Q49" s="118">
        <v>45391.875</v>
      </c>
      <c r="R49" s="118" t="s">
        <v>118</v>
      </c>
      <c r="S49" s="118">
        <v>45391.993055555555</v>
      </c>
      <c r="T49" s="118">
        <v>45392.020833333336</v>
      </c>
      <c r="U49" s="118">
        <v>45392.111111111109</v>
      </c>
      <c r="V49" s="119">
        <f t="shared" si="0"/>
        <v>0.20833333333575865</v>
      </c>
      <c r="W49" s="119">
        <v>0.20833333333333334</v>
      </c>
      <c r="X49" s="119">
        <f t="shared" si="1"/>
        <v>2.4253099528692701E-12</v>
      </c>
      <c r="Y49" s="96">
        <v>0</v>
      </c>
      <c r="Z49" s="96">
        <v>12</v>
      </c>
      <c r="AA49" s="96">
        <f t="shared" si="2"/>
        <v>12</v>
      </c>
      <c r="AB49" s="97">
        <f t="shared" si="3"/>
        <v>0</v>
      </c>
      <c r="AC49" s="97">
        <f t="shared" si="4"/>
        <v>852.82999999999993</v>
      </c>
      <c r="AD49" s="98">
        <f>3968.89-3116.06</f>
        <v>852.82999999999993</v>
      </c>
      <c r="AE49" s="98">
        <f>4020.6-3123.8</f>
        <v>896.79999999999973</v>
      </c>
      <c r="AF49" s="98">
        <f>4034.4-3134.6</f>
        <v>899.80000000000018</v>
      </c>
      <c r="AG49" s="98">
        <f t="shared" si="5"/>
        <v>46.970000000000255</v>
      </c>
      <c r="AH49" s="99">
        <v>1484</v>
      </c>
      <c r="AI49" s="100">
        <f t="shared" si="6"/>
        <v>1335303.2000000002</v>
      </c>
      <c r="AJ49" s="100">
        <f t="shared" si="17"/>
        <v>0</v>
      </c>
      <c r="AK49" s="100">
        <v>0</v>
      </c>
      <c r="AL49" s="100">
        <v>24140</v>
      </c>
      <c r="AM49" s="100">
        <v>0</v>
      </c>
      <c r="AN49" s="100">
        <v>0</v>
      </c>
      <c r="AO49" s="100">
        <v>0</v>
      </c>
      <c r="AP49" s="100">
        <f t="shared" si="8"/>
        <v>67973</v>
      </c>
      <c r="AQ49" s="101">
        <f>ROUNDUP(SUM(AI49:AP49),0)-2</f>
        <v>1427415</v>
      </c>
      <c r="AR49" s="101">
        <v>0</v>
      </c>
      <c r="AS49" s="101">
        <v>0</v>
      </c>
      <c r="AT49" s="102" t="s">
        <v>33</v>
      </c>
      <c r="AU49" s="120">
        <v>7</v>
      </c>
      <c r="AV49" s="121">
        <v>5.5</v>
      </c>
      <c r="AW49" s="105"/>
      <c r="AX49" s="106">
        <f t="shared" si="10"/>
        <v>5.2200488997555281</v>
      </c>
      <c r="AY49" s="101">
        <f t="shared" si="11"/>
        <v>69704</v>
      </c>
      <c r="AZ49" s="107"/>
      <c r="BA49" s="118">
        <v>45391.666666666664</v>
      </c>
      <c r="BB49" s="118">
        <v>45391.680555555555</v>
      </c>
      <c r="BC49" s="118">
        <v>45391.704861111109</v>
      </c>
      <c r="BD49" s="118">
        <v>45391.980555555558</v>
      </c>
      <c r="BE49" s="119">
        <f t="shared" si="12"/>
        <v>0.31388888889341615</v>
      </c>
      <c r="BF49" s="119">
        <v>9.5138888888888884E-2</v>
      </c>
      <c r="BG49" s="119">
        <v>7.7777777777777779E-2</v>
      </c>
      <c r="BH49" s="119">
        <f t="shared" si="13"/>
        <v>1.3888888890505768E-2</v>
      </c>
      <c r="BI49" s="119">
        <f t="shared" si="13"/>
        <v>2.4305555554747116E-2</v>
      </c>
      <c r="BJ49" s="119">
        <f t="shared" si="13"/>
        <v>0.27569444444816327</v>
      </c>
      <c r="BK49" s="119">
        <f t="shared" si="14"/>
        <v>0.30000000000291038</v>
      </c>
      <c r="BL49" s="119">
        <f t="shared" si="15"/>
        <v>0.12708333333624372</v>
      </c>
      <c r="BM49" s="119">
        <f t="shared" si="16"/>
        <v>0.10555555556008281</v>
      </c>
      <c r="BN49" s="110" t="s">
        <v>155</v>
      </c>
    </row>
    <row r="50" spans="1:66" s="8" customFormat="1" ht="12.75" customHeight="1" x14ac:dyDescent="0.25">
      <c r="A50" s="122"/>
      <c r="B50" s="122"/>
      <c r="C50" s="122"/>
      <c r="D50" s="122"/>
      <c r="E50" s="91" t="s">
        <v>156</v>
      </c>
      <c r="F50" s="122"/>
      <c r="G50" s="122"/>
      <c r="H50" s="122"/>
      <c r="I50" s="123"/>
      <c r="J50" s="124"/>
      <c r="K50" s="123"/>
      <c r="L50" s="123"/>
      <c r="M50" s="124"/>
      <c r="N50" s="125"/>
      <c r="O50" s="125"/>
      <c r="P50" s="125"/>
      <c r="Q50" s="125"/>
      <c r="R50" s="125"/>
      <c r="S50" s="125"/>
      <c r="T50" s="125"/>
      <c r="U50" s="125"/>
      <c r="V50" s="126"/>
      <c r="W50" s="126"/>
      <c r="X50" s="126"/>
      <c r="Y50" s="96">
        <v>0</v>
      </c>
      <c r="Z50" s="96">
        <v>46</v>
      </c>
      <c r="AA50" s="96">
        <f t="shared" si="2"/>
        <v>46</v>
      </c>
      <c r="AB50" s="97">
        <f t="shared" si="3"/>
        <v>0</v>
      </c>
      <c r="AC50" s="97">
        <f t="shared" si="4"/>
        <v>3116.0599999999995</v>
      </c>
      <c r="AD50" s="98">
        <f>3968.89-852.83</f>
        <v>3116.06</v>
      </c>
      <c r="AE50" s="98">
        <v>3123.8</v>
      </c>
      <c r="AF50" s="98">
        <v>3134.6</v>
      </c>
      <c r="AG50" s="98">
        <f t="shared" si="5"/>
        <v>18.539999999999964</v>
      </c>
      <c r="AH50" s="99">
        <v>1484</v>
      </c>
      <c r="AI50" s="100">
        <f t="shared" si="6"/>
        <v>4651746.3999999994</v>
      </c>
      <c r="AJ50" s="100">
        <f t="shared" si="17"/>
        <v>0</v>
      </c>
      <c r="AK50" s="100">
        <v>0</v>
      </c>
      <c r="AL50" s="100">
        <v>0</v>
      </c>
      <c r="AM50" s="100">
        <v>0</v>
      </c>
      <c r="AN50" s="100">
        <v>0</v>
      </c>
      <c r="AO50" s="100">
        <v>0</v>
      </c>
      <c r="AP50" s="100">
        <f t="shared" si="8"/>
        <v>232588</v>
      </c>
      <c r="AQ50" s="101">
        <f t="shared" ref="AQ50:AQ86" si="18">ROUNDUP(SUM(AI50:AP50),0)</f>
        <v>4884335</v>
      </c>
      <c r="AR50" s="101">
        <v>0</v>
      </c>
      <c r="AS50" s="101">
        <v>0</v>
      </c>
      <c r="AT50" s="102" t="s">
        <v>33</v>
      </c>
      <c r="AU50" s="127"/>
      <c r="AV50" s="128"/>
      <c r="AW50" s="105"/>
      <c r="AX50" s="106">
        <f t="shared" si="10"/>
        <v>0.59146302558540054</v>
      </c>
      <c r="AY50" s="101">
        <f t="shared" si="11"/>
        <v>27514</v>
      </c>
      <c r="AZ50" s="107"/>
      <c r="BA50" s="125"/>
      <c r="BB50" s="125"/>
      <c r="BC50" s="125"/>
      <c r="BD50" s="125"/>
      <c r="BE50" s="126"/>
      <c r="BF50" s="126"/>
      <c r="BG50" s="126"/>
      <c r="BH50" s="126"/>
      <c r="BI50" s="126"/>
      <c r="BJ50" s="126"/>
      <c r="BK50" s="126"/>
      <c r="BL50" s="126"/>
      <c r="BM50" s="126"/>
      <c r="BN50" s="110" t="s">
        <v>157</v>
      </c>
    </row>
    <row r="51" spans="1:66" s="8" customFormat="1" ht="12.75" customHeight="1" x14ac:dyDescent="0.25">
      <c r="A51" s="90">
        <v>20</v>
      </c>
      <c r="B51" s="90">
        <v>20</v>
      </c>
      <c r="C51" s="90">
        <v>2</v>
      </c>
      <c r="D51" s="90" t="s">
        <v>148</v>
      </c>
      <c r="E51" s="91" t="s">
        <v>149</v>
      </c>
      <c r="F51" s="90" t="s">
        <v>16</v>
      </c>
      <c r="G51" s="90" t="s">
        <v>17</v>
      </c>
      <c r="H51" s="90" t="s">
        <v>150</v>
      </c>
      <c r="I51" s="92" t="s">
        <v>158</v>
      </c>
      <c r="J51" s="93">
        <v>45391</v>
      </c>
      <c r="K51" s="92" t="s">
        <v>122</v>
      </c>
      <c r="L51" s="92">
        <v>461000174</v>
      </c>
      <c r="M51" s="93">
        <v>45392</v>
      </c>
      <c r="N51" s="94">
        <v>45391.885416666664</v>
      </c>
      <c r="O51" s="94">
        <v>45391.885416666664</v>
      </c>
      <c r="P51" s="94">
        <v>45391.888888888891</v>
      </c>
      <c r="Q51" s="94">
        <v>45392.09375</v>
      </c>
      <c r="R51" s="114" t="s">
        <v>118</v>
      </c>
      <c r="S51" s="114">
        <v>45392.166666666664</v>
      </c>
      <c r="T51" s="114">
        <v>45392.270833333336</v>
      </c>
      <c r="U51" s="114">
        <v>45392.46875</v>
      </c>
      <c r="V51" s="95">
        <f t="shared" ref="V51:V82" si="19">+Q51-N51</f>
        <v>0.20833333333575865</v>
      </c>
      <c r="W51" s="95">
        <v>0.20833333333333334</v>
      </c>
      <c r="X51" s="95">
        <f t="shared" ref="X51:X82" si="20">IF(VALUE(V51)&lt;=VALUE("05:00"),"00:00",VALUE(V51)-VALUE("05:00"))</f>
        <v>2.4253099528692701E-12</v>
      </c>
      <c r="Y51" s="96">
        <v>0</v>
      </c>
      <c r="Z51" s="96">
        <v>59</v>
      </c>
      <c r="AA51" s="96">
        <f t="shared" si="2"/>
        <v>59</v>
      </c>
      <c r="AB51" s="97">
        <f t="shared" si="3"/>
        <v>0</v>
      </c>
      <c r="AC51" s="97">
        <f t="shared" si="4"/>
        <v>4026.9900000000002</v>
      </c>
      <c r="AD51" s="98">
        <v>4026.99</v>
      </c>
      <c r="AE51" s="98">
        <v>4085.4</v>
      </c>
      <c r="AF51" s="98">
        <v>4096.8</v>
      </c>
      <c r="AG51" s="98">
        <f t="shared" si="5"/>
        <v>69.8100000000004</v>
      </c>
      <c r="AH51" s="99">
        <v>672.5</v>
      </c>
      <c r="AI51" s="100">
        <f t="shared" si="6"/>
        <v>2755098</v>
      </c>
      <c r="AJ51" s="100">
        <f t="shared" si="17"/>
        <v>0</v>
      </c>
      <c r="AK51" s="100">
        <v>0</v>
      </c>
      <c r="AL51" s="100">
        <v>24290</v>
      </c>
      <c r="AM51" s="100">
        <v>0</v>
      </c>
      <c r="AN51" s="100">
        <v>0</v>
      </c>
      <c r="AO51" s="100">
        <v>0</v>
      </c>
      <c r="AP51" s="100">
        <f t="shared" si="8"/>
        <v>138970</v>
      </c>
      <c r="AQ51" s="101">
        <f t="shared" si="18"/>
        <v>2918358</v>
      </c>
      <c r="AR51" s="101">
        <v>0</v>
      </c>
      <c r="AS51" s="101">
        <v>0</v>
      </c>
      <c r="AT51" s="102" t="s">
        <v>33</v>
      </c>
      <c r="AU51" s="109">
        <v>6</v>
      </c>
      <c r="AV51" s="100">
        <v>4.5</v>
      </c>
      <c r="AW51" s="105"/>
      <c r="AX51" s="106">
        <f t="shared" si="10"/>
        <v>1.7040128881078012</v>
      </c>
      <c r="AY51" s="101">
        <f t="shared" si="11"/>
        <v>46948</v>
      </c>
      <c r="AZ51" s="107"/>
      <c r="BA51" s="94">
        <v>45391.885416666664</v>
      </c>
      <c r="BB51" s="94">
        <v>45391.888888888891</v>
      </c>
      <c r="BC51" s="94">
        <v>45392.020833333336</v>
      </c>
      <c r="BD51" s="94">
        <v>45392.161111111112</v>
      </c>
      <c r="BE51" s="95">
        <f t="shared" ref="BE51:BE82" si="21">+BD51-BA51</f>
        <v>0.27569444444816327</v>
      </c>
      <c r="BF51" s="95">
        <v>5.7638888888888892E-2</v>
      </c>
      <c r="BG51" s="95">
        <v>9.5138888888888884E-2</v>
      </c>
      <c r="BH51" s="95">
        <f t="shared" ref="BH51:BJ82" si="22">+BB51-BA51</f>
        <v>3.4722222262644209E-3</v>
      </c>
      <c r="BI51" s="95">
        <f t="shared" si="22"/>
        <v>0.13194444444525288</v>
      </c>
      <c r="BJ51" s="95">
        <f t="shared" si="22"/>
        <v>0.14027777777664596</v>
      </c>
      <c r="BK51" s="95">
        <f t="shared" ref="BK51:BK82" si="23">+BI51+BJ51</f>
        <v>0.27222222222189885</v>
      </c>
      <c r="BL51" s="95">
        <f t="shared" ref="BL51:BL82" si="24">+BE51-BH51-BF51-BG51</f>
        <v>0.11944444444412106</v>
      </c>
      <c r="BM51" s="95">
        <f t="shared" ref="BM51:BM82" si="25">IF(VALUE(BE51)&lt;=VALUE("05:00"),"00:00",VALUE(BE51)-VALUE("05:00"))</f>
        <v>6.7361111114829925E-2</v>
      </c>
      <c r="BN51" s="110"/>
    </row>
    <row r="52" spans="1:66" s="8" customFormat="1" ht="12.75" customHeight="1" x14ac:dyDescent="0.25">
      <c r="A52" s="90">
        <v>21</v>
      </c>
      <c r="B52" s="90">
        <v>21</v>
      </c>
      <c r="C52" s="90">
        <v>7</v>
      </c>
      <c r="D52" s="90" t="s">
        <v>113</v>
      </c>
      <c r="E52" s="91" t="s">
        <v>126</v>
      </c>
      <c r="F52" s="90" t="s">
        <v>32</v>
      </c>
      <c r="G52" s="90" t="s">
        <v>15</v>
      </c>
      <c r="H52" s="90" t="s">
        <v>127</v>
      </c>
      <c r="I52" s="92" t="s">
        <v>159</v>
      </c>
      <c r="J52" s="93">
        <v>45391</v>
      </c>
      <c r="K52" s="92" t="s">
        <v>117</v>
      </c>
      <c r="L52" s="92">
        <v>242000704</v>
      </c>
      <c r="M52" s="93">
        <v>45392</v>
      </c>
      <c r="N52" s="94">
        <v>45392.364583333336</v>
      </c>
      <c r="O52" s="94">
        <v>45392.364583333336</v>
      </c>
      <c r="P52" s="94">
        <v>45392.395833333336</v>
      </c>
      <c r="Q52" s="94">
        <v>45392.572916666664</v>
      </c>
      <c r="R52" s="114">
        <v>45392.385416666664</v>
      </c>
      <c r="S52" s="114" t="s">
        <v>118</v>
      </c>
      <c r="T52" s="114">
        <v>45392.590277777781</v>
      </c>
      <c r="U52" s="114">
        <v>45392.65625</v>
      </c>
      <c r="V52" s="95">
        <f t="shared" si="19"/>
        <v>0.20833333332848269</v>
      </c>
      <c r="W52" s="95">
        <v>0.20833333333333334</v>
      </c>
      <c r="X52" s="95" t="str">
        <f t="shared" si="20"/>
        <v>00:00</v>
      </c>
      <c r="Y52" s="96">
        <v>0</v>
      </c>
      <c r="Z52" s="96">
        <v>59</v>
      </c>
      <c r="AA52" s="96">
        <f t="shared" si="2"/>
        <v>59</v>
      </c>
      <c r="AB52" s="97">
        <f t="shared" si="3"/>
        <v>0</v>
      </c>
      <c r="AC52" s="97">
        <f t="shared" si="4"/>
        <v>3913.06</v>
      </c>
      <c r="AD52" s="98">
        <v>3913.06</v>
      </c>
      <c r="AE52" s="98">
        <v>4057.2</v>
      </c>
      <c r="AF52" s="98">
        <v>4057.4</v>
      </c>
      <c r="AG52" s="98">
        <f t="shared" si="5"/>
        <v>144.34000000000015</v>
      </c>
      <c r="AH52" s="99">
        <v>1484</v>
      </c>
      <c r="AI52" s="100">
        <f t="shared" si="6"/>
        <v>6021181.6000000006</v>
      </c>
      <c r="AJ52" s="100">
        <f t="shared" si="17"/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f t="shared" si="8"/>
        <v>301060</v>
      </c>
      <c r="AQ52" s="101">
        <f t="shared" si="18"/>
        <v>6322242</v>
      </c>
      <c r="AR52" s="101">
        <v>0</v>
      </c>
      <c r="AS52" s="101">
        <v>0</v>
      </c>
      <c r="AT52" s="102" t="s">
        <v>33</v>
      </c>
      <c r="AU52" s="109" t="s">
        <v>118</v>
      </c>
      <c r="AV52" s="100">
        <v>0</v>
      </c>
      <c r="AW52" s="105"/>
      <c r="AX52" s="106">
        <f t="shared" si="10"/>
        <v>3.557450584117912</v>
      </c>
      <c r="AY52" s="101">
        <f t="shared" si="11"/>
        <v>214201</v>
      </c>
      <c r="AZ52" s="107"/>
      <c r="BA52" s="94">
        <v>45392.385416666664</v>
      </c>
      <c r="BB52" s="94">
        <v>45392.395833333336</v>
      </c>
      <c r="BC52" s="94">
        <v>45392.4</v>
      </c>
      <c r="BD52" s="94">
        <v>45392.580555555556</v>
      </c>
      <c r="BE52" s="95">
        <f t="shared" si="21"/>
        <v>0.19513888889196096</v>
      </c>
      <c r="BF52" s="95">
        <v>0</v>
      </c>
      <c r="BG52" s="95">
        <v>2.3611111111111027E-2</v>
      </c>
      <c r="BH52" s="95">
        <f t="shared" si="22"/>
        <v>1.0416666671517305E-2</v>
      </c>
      <c r="BI52" s="95">
        <f t="shared" si="22"/>
        <v>4.166666665696539E-3</v>
      </c>
      <c r="BJ52" s="95">
        <f t="shared" si="22"/>
        <v>0.18055555555474712</v>
      </c>
      <c r="BK52" s="95">
        <f t="shared" si="23"/>
        <v>0.18472222222044365</v>
      </c>
      <c r="BL52" s="95">
        <f t="shared" si="24"/>
        <v>0.16111111110933263</v>
      </c>
      <c r="BM52" s="95" t="str">
        <f t="shared" si="25"/>
        <v>00:00</v>
      </c>
      <c r="BN52" s="110"/>
    </row>
    <row r="53" spans="1:66" s="8" customFormat="1" ht="12.75" customHeight="1" x14ac:dyDescent="0.25">
      <c r="A53" s="90">
        <v>22</v>
      </c>
      <c r="B53" s="90">
        <v>22</v>
      </c>
      <c r="C53" s="90">
        <v>7</v>
      </c>
      <c r="D53" s="90" t="s">
        <v>113</v>
      </c>
      <c r="E53" s="91" t="s">
        <v>123</v>
      </c>
      <c r="F53" s="90" t="s">
        <v>29</v>
      </c>
      <c r="G53" s="90" t="s">
        <v>8</v>
      </c>
      <c r="H53" s="90" t="s">
        <v>124</v>
      </c>
      <c r="I53" s="92" t="s">
        <v>160</v>
      </c>
      <c r="J53" s="93"/>
      <c r="K53" s="92" t="s">
        <v>122</v>
      </c>
      <c r="L53" s="92">
        <v>261005689</v>
      </c>
      <c r="M53" s="93">
        <v>45393</v>
      </c>
      <c r="N53" s="94">
        <v>45392.583333333336</v>
      </c>
      <c r="O53" s="94">
        <v>45392.583333333336</v>
      </c>
      <c r="P53" s="94">
        <v>45392.586805555555</v>
      </c>
      <c r="Q53" s="94">
        <v>45392.791666666664</v>
      </c>
      <c r="R53" s="114" t="s">
        <v>118</v>
      </c>
      <c r="S53" s="114">
        <v>45392.875</v>
      </c>
      <c r="T53" s="114">
        <v>45392.895833333336</v>
      </c>
      <c r="U53" s="114">
        <v>45392.997916666667</v>
      </c>
      <c r="V53" s="95">
        <f t="shared" si="19"/>
        <v>0.20833333332848269</v>
      </c>
      <c r="W53" s="95">
        <v>0.20833333333333334</v>
      </c>
      <c r="X53" s="95" t="str">
        <f t="shared" si="20"/>
        <v>00:00</v>
      </c>
      <c r="Y53" s="96">
        <v>0</v>
      </c>
      <c r="Z53" s="96">
        <v>59</v>
      </c>
      <c r="AA53" s="96">
        <f t="shared" si="2"/>
        <v>59</v>
      </c>
      <c r="AB53" s="97">
        <f t="shared" si="3"/>
        <v>0</v>
      </c>
      <c r="AC53" s="97">
        <f t="shared" si="4"/>
        <v>3962.06</v>
      </c>
      <c r="AD53" s="98">
        <v>3962.06</v>
      </c>
      <c r="AE53" s="98">
        <v>4091.6</v>
      </c>
      <c r="AF53" s="98">
        <v>4093.8</v>
      </c>
      <c r="AG53" s="98">
        <f t="shared" si="5"/>
        <v>131.74000000000024</v>
      </c>
      <c r="AH53" s="99">
        <v>797.2</v>
      </c>
      <c r="AI53" s="100">
        <f t="shared" si="6"/>
        <v>3263577.3600000003</v>
      </c>
      <c r="AJ53" s="100">
        <f>(0.2*AH53)*2</f>
        <v>318.88000000000005</v>
      </c>
      <c r="AK53" s="100">
        <v>0</v>
      </c>
      <c r="AL53" s="100">
        <v>0</v>
      </c>
      <c r="AM53" s="100">
        <v>0</v>
      </c>
      <c r="AN53" s="100">
        <v>0</v>
      </c>
      <c r="AO53" s="100">
        <v>0</v>
      </c>
      <c r="AP53" s="100">
        <f t="shared" si="8"/>
        <v>163195</v>
      </c>
      <c r="AQ53" s="101">
        <f t="shared" si="18"/>
        <v>3427092</v>
      </c>
      <c r="AR53" s="101">
        <v>0</v>
      </c>
      <c r="AS53" s="101">
        <v>0</v>
      </c>
      <c r="AT53" s="102" t="s">
        <v>33</v>
      </c>
      <c r="AU53" s="129"/>
      <c r="AV53" s="130"/>
      <c r="AW53" s="105"/>
      <c r="AX53" s="106">
        <f>IFERROR((AG53/AF53)*100, "")</f>
        <v>3.2180370316087803</v>
      </c>
      <c r="AY53" s="101">
        <f t="shared" si="11"/>
        <v>105024</v>
      </c>
      <c r="AZ53" s="107"/>
      <c r="BA53" s="94">
        <v>45392.583333333336</v>
      </c>
      <c r="BB53" s="94">
        <v>45392.586805555555</v>
      </c>
      <c r="BC53" s="94">
        <v>45392.586805555555</v>
      </c>
      <c r="BD53" s="94">
        <v>45392.875</v>
      </c>
      <c r="BE53" s="95">
        <f t="shared" si="21"/>
        <v>0.29166666666424135</v>
      </c>
      <c r="BF53" s="95">
        <v>0.16597222222222222</v>
      </c>
      <c r="BG53" s="95">
        <v>0</v>
      </c>
      <c r="BH53" s="95">
        <f t="shared" si="22"/>
        <v>3.4722222189884633E-3</v>
      </c>
      <c r="BI53" s="95">
        <f t="shared" si="22"/>
        <v>0</v>
      </c>
      <c r="BJ53" s="95">
        <f t="shared" si="22"/>
        <v>0.28819444444525288</v>
      </c>
      <c r="BK53" s="95">
        <f t="shared" si="23"/>
        <v>0.28819444444525288</v>
      </c>
      <c r="BL53" s="95">
        <f t="shared" si="24"/>
        <v>0.12222222222303067</v>
      </c>
      <c r="BM53" s="95">
        <f t="shared" si="25"/>
        <v>8.3333333330908005E-2</v>
      </c>
      <c r="BN53" s="110"/>
    </row>
    <row r="54" spans="1:66" s="8" customFormat="1" ht="12.75" customHeight="1" x14ac:dyDescent="0.25">
      <c r="A54" s="90">
        <v>23</v>
      </c>
      <c r="B54" s="90">
        <v>23</v>
      </c>
      <c r="C54" s="90">
        <v>3</v>
      </c>
      <c r="D54" s="90" t="s">
        <v>113</v>
      </c>
      <c r="E54" s="91" t="s">
        <v>140</v>
      </c>
      <c r="F54" s="90" t="s">
        <v>25</v>
      </c>
      <c r="G54" s="90" t="s">
        <v>12</v>
      </c>
      <c r="H54" s="90" t="s">
        <v>115</v>
      </c>
      <c r="I54" s="92" t="s">
        <v>161</v>
      </c>
      <c r="J54" s="93">
        <v>45392</v>
      </c>
      <c r="K54" s="92" t="s">
        <v>117</v>
      </c>
      <c r="L54" s="92">
        <v>282000888</v>
      </c>
      <c r="M54" s="93">
        <v>45393</v>
      </c>
      <c r="N54" s="94">
        <v>45392.8125</v>
      </c>
      <c r="O54" s="94">
        <v>45392.8125</v>
      </c>
      <c r="P54" s="94">
        <v>45392.815972222219</v>
      </c>
      <c r="Q54" s="94">
        <v>45392.989583333336</v>
      </c>
      <c r="R54" s="114" t="s">
        <v>118</v>
      </c>
      <c r="S54" s="114" t="s">
        <v>118</v>
      </c>
      <c r="T54" s="114">
        <v>45393.0625</v>
      </c>
      <c r="U54" s="114">
        <v>45393.162499999999</v>
      </c>
      <c r="V54" s="95">
        <f t="shared" si="19"/>
        <v>0.17708333333575865</v>
      </c>
      <c r="W54" s="95">
        <v>0.20833333333333334</v>
      </c>
      <c r="X54" s="95" t="str">
        <f t="shared" si="20"/>
        <v>00:00</v>
      </c>
      <c r="Y54" s="96">
        <v>4</v>
      </c>
      <c r="Z54" s="96">
        <v>54</v>
      </c>
      <c r="AA54" s="96">
        <f t="shared" si="2"/>
        <v>58</v>
      </c>
      <c r="AB54" s="97">
        <f t="shared" si="3"/>
        <v>271.85655172413794</v>
      </c>
      <c r="AC54" s="97">
        <f t="shared" si="4"/>
        <v>3670.0634482758624</v>
      </c>
      <c r="AD54" s="98">
        <v>3941.92</v>
      </c>
      <c r="AE54" s="98">
        <v>4031.8</v>
      </c>
      <c r="AF54" s="98">
        <v>4033.8</v>
      </c>
      <c r="AG54" s="98">
        <f t="shared" si="5"/>
        <v>91.880000000000109</v>
      </c>
      <c r="AH54" s="99">
        <v>1586.7</v>
      </c>
      <c r="AI54" s="100">
        <f t="shared" si="6"/>
        <v>6400430.4600000009</v>
      </c>
      <c r="AJ54" s="100">
        <f>(0.4*AH54)*2</f>
        <v>1269.3600000000001</v>
      </c>
      <c r="AK54" s="100">
        <v>0</v>
      </c>
      <c r="AL54" s="100">
        <v>0</v>
      </c>
      <c r="AM54" s="100">
        <v>0</v>
      </c>
      <c r="AN54" s="100">
        <v>0</v>
      </c>
      <c r="AO54" s="100">
        <f>IFERROR(AF54*20+(((AJ54/AH54)/2)*20),0)</f>
        <v>80684</v>
      </c>
      <c r="AP54" s="100">
        <f t="shared" si="8"/>
        <v>324120</v>
      </c>
      <c r="AQ54" s="101">
        <f t="shared" si="18"/>
        <v>6806504</v>
      </c>
      <c r="AR54" s="101">
        <v>0</v>
      </c>
      <c r="AS54" s="101">
        <v>0</v>
      </c>
      <c r="AT54" s="102" t="s">
        <v>33</v>
      </c>
      <c r="AU54" s="109" t="s">
        <v>118</v>
      </c>
      <c r="AV54" s="100">
        <v>0</v>
      </c>
      <c r="AW54" s="105"/>
      <c r="AX54" s="106">
        <f>IFERROR((AG54/AF54)*100, "")</f>
        <v>2.2777529872576752</v>
      </c>
      <c r="AY54" s="101">
        <f t="shared" si="11"/>
        <v>145786</v>
      </c>
      <c r="AZ54" s="107"/>
      <c r="BA54" s="94">
        <v>45392.8125</v>
      </c>
      <c r="BB54" s="94">
        <v>45392.815972222219</v>
      </c>
      <c r="BC54" s="94">
        <v>45392.895138888889</v>
      </c>
      <c r="BD54" s="94">
        <v>45393.024305555555</v>
      </c>
      <c r="BE54" s="95">
        <f t="shared" si="21"/>
        <v>0.21180555555474712</v>
      </c>
      <c r="BF54" s="95">
        <v>2.1527777777777778E-2</v>
      </c>
      <c r="BG54" s="95">
        <v>6.9444444444444448E-2</v>
      </c>
      <c r="BH54" s="95">
        <f t="shared" si="22"/>
        <v>3.4722222189884633E-3</v>
      </c>
      <c r="BI54" s="95">
        <f t="shared" si="22"/>
        <v>7.9166666670062114E-2</v>
      </c>
      <c r="BJ54" s="95">
        <f t="shared" si="22"/>
        <v>0.12916666666569654</v>
      </c>
      <c r="BK54" s="95">
        <f t="shared" si="23"/>
        <v>0.20833333333575865</v>
      </c>
      <c r="BL54" s="95">
        <f t="shared" si="24"/>
        <v>0.11736111111353642</v>
      </c>
      <c r="BM54" s="95">
        <f t="shared" si="25"/>
        <v>3.4722222214137732E-3</v>
      </c>
      <c r="BN54" s="110"/>
    </row>
    <row r="55" spans="1:66" s="8" customFormat="1" ht="12.75" customHeight="1" x14ac:dyDescent="0.25">
      <c r="A55" s="90">
        <v>24</v>
      </c>
      <c r="B55" s="90">
        <v>24</v>
      </c>
      <c r="C55" s="90">
        <v>3</v>
      </c>
      <c r="D55" s="90" t="s">
        <v>148</v>
      </c>
      <c r="E55" s="91" t="s">
        <v>149</v>
      </c>
      <c r="F55" s="90" t="s">
        <v>16</v>
      </c>
      <c r="G55" s="90" t="s">
        <v>17</v>
      </c>
      <c r="H55" s="90" t="s">
        <v>150</v>
      </c>
      <c r="I55" s="92" t="s">
        <v>162</v>
      </c>
      <c r="J55" s="93">
        <v>45392</v>
      </c>
      <c r="K55" s="92" t="s">
        <v>122</v>
      </c>
      <c r="L55" s="92">
        <v>461000175</v>
      </c>
      <c r="M55" s="93">
        <v>45393</v>
      </c>
      <c r="N55" s="94">
        <v>45393.03125</v>
      </c>
      <c r="O55" s="94">
        <v>45393.03125</v>
      </c>
      <c r="P55" s="94">
        <v>45393.045138888891</v>
      </c>
      <c r="Q55" s="94">
        <v>45393.239583333336</v>
      </c>
      <c r="R55" s="114" t="s">
        <v>118</v>
      </c>
      <c r="S55" s="114" t="s">
        <v>118</v>
      </c>
      <c r="T55" s="114">
        <v>45393.263888888891</v>
      </c>
      <c r="U55" s="114">
        <v>45393.392361111109</v>
      </c>
      <c r="V55" s="95">
        <f t="shared" si="19"/>
        <v>0.20833333333575865</v>
      </c>
      <c r="W55" s="95">
        <v>0.20833333333333334</v>
      </c>
      <c r="X55" s="95">
        <f t="shared" si="20"/>
        <v>2.4253099528692701E-12</v>
      </c>
      <c r="Y55" s="96">
        <v>0</v>
      </c>
      <c r="Z55" s="96">
        <v>59</v>
      </c>
      <c r="AA55" s="96">
        <f t="shared" si="2"/>
        <v>59</v>
      </c>
      <c r="AB55" s="97">
        <f t="shared" si="3"/>
        <v>0</v>
      </c>
      <c r="AC55" s="97">
        <f t="shared" si="4"/>
        <v>4064.1499999999996</v>
      </c>
      <c r="AD55" s="98">
        <v>4064.15</v>
      </c>
      <c r="AE55" s="98">
        <v>4118.8</v>
      </c>
      <c r="AF55" s="98">
        <v>4124.3999999999996</v>
      </c>
      <c r="AG55" s="98">
        <f t="shared" si="5"/>
        <v>60.249999999999545</v>
      </c>
      <c r="AH55" s="99">
        <v>672.5</v>
      </c>
      <c r="AI55" s="100">
        <f t="shared" si="6"/>
        <v>2773658.9999999995</v>
      </c>
      <c r="AJ55" s="100">
        <f>(0*AH55)*2</f>
        <v>0</v>
      </c>
      <c r="AK55" s="100">
        <v>0</v>
      </c>
      <c r="AL55" s="100">
        <v>24290</v>
      </c>
      <c r="AM55" s="100">
        <v>0</v>
      </c>
      <c r="AN55" s="100">
        <v>0</v>
      </c>
      <c r="AO55" s="100">
        <v>0</v>
      </c>
      <c r="AP55" s="100">
        <f t="shared" si="8"/>
        <v>139898</v>
      </c>
      <c r="AQ55" s="101">
        <f t="shared" si="18"/>
        <v>2937847</v>
      </c>
      <c r="AR55" s="101">
        <v>0</v>
      </c>
      <c r="AS55" s="101">
        <v>0</v>
      </c>
      <c r="AT55" s="102" t="s">
        <v>33</v>
      </c>
      <c r="AU55" s="109">
        <v>3</v>
      </c>
      <c r="AV55" s="100">
        <v>2</v>
      </c>
      <c r="AW55" s="105"/>
      <c r="AX55" s="106">
        <f>IFERROR((AG55/AF55)*100,"")</f>
        <v>1.4608185433032574</v>
      </c>
      <c r="AY55" s="101">
        <f t="shared" si="11"/>
        <v>40519</v>
      </c>
      <c r="AZ55" s="107"/>
      <c r="BA55" s="94">
        <v>45393.03125</v>
      </c>
      <c r="BB55" s="94">
        <v>45393.045138888891</v>
      </c>
      <c r="BC55" s="94">
        <v>45393.072916666664</v>
      </c>
      <c r="BD55" s="94">
        <v>45393.253472222219</v>
      </c>
      <c r="BE55" s="95">
        <f t="shared" si="21"/>
        <v>0.22222222221898846</v>
      </c>
      <c r="BF55" s="95">
        <v>1.8749999999999999E-2</v>
      </c>
      <c r="BG55" s="95">
        <v>0.05</v>
      </c>
      <c r="BH55" s="95">
        <f t="shared" si="22"/>
        <v>1.3888888890505768E-2</v>
      </c>
      <c r="BI55" s="95">
        <f t="shared" si="22"/>
        <v>2.7777777773735579E-2</v>
      </c>
      <c r="BJ55" s="95">
        <f t="shared" si="22"/>
        <v>0.18055555555474712</v>
      </c>
      <c r="BK55" s="95">
        <f t="shared" si="23"/>
        <v>0.20833333332848269</v>
      </c>
      <c r="BL55" s="95">
        <f t="shared" si="24"/>
        <v>0.13958333332848272</v>
      </c>
      <c r="BM55" s="95">
        <f t="shared" si="25"/>
        <v>1.3888888885655121E-2</v>
      </c>
      <c r="BN55" s="110"/>
    </row>
    <row r="56" spans="1:66" s="8" customFormat="1" ht="12.75" customHeight="1" x14ac:dyDescent="0.25">
      <c r="A56" s="90">
        <v>25</v>
      </c>
      <c r="B56" s="90">
        <v>25</v>
      </c>
      <c r="C56" s="90">
        <v>2</v>
      </c>
      <c r="D56" s="90" t="s">
        <v>113</v>
      </c>
      <c r="E56" s="91" t="s">
        <v>156</v>
      </c>
      <c r="F56" s="90" t="s">
        <v>37</v>
      </c>
      <c r="G56" s="90" t="s">
        <v>8</v>
      </c>
      <c r="H56" s="90" t="s">
        <v>153</v>
      </c>
      <c r="I56" s="92" t="s">
        <v>163</v>
      </c>
      <c r="J56" s="93">
        <v>45392</v>
      </c>
      <c r="K56" s="92" t="s">
        <v>117</v>
      </c>
      <c r="L56" s="92">
        <v>482000337</v>
      </c>
      <c r="M56" s="93">
        <v>45393</v>
      </c>
      <c r="N56" s="94">
        <v>45393.208333333336</v>
      </c>
      <c r="O56" s="94">
        <v>45393.208333333336</v>
      </c>
      <c r="P56" s="94">
        <v>45393.211805555555</v>
      </c>
      <c r="Q56" s="94">
        <v>45393.416666666664</v>
      </c>
      <c r="R56" s="114" t="s">
        <v>118</v>
      </c>
      <c r="S56" s="114">
        <v>45393.5</v>
      </c>
      <c r="T56" s="114">
        <v>45393.520833333336</v>
      </c>
      <c r="U56" s="114">
        <v>45393.621527777781</v>
      </c>
      <c r="V56" s="95">
        <f t="shared" si="19"/>
        <v>0.20833333332848269</v>
      </c>
      <c r="W56" s="95">
        <v>0.20833333333333334</v>
      </c>
      <c r="X56" s="95" t="str">
        <f t="shared" si="20"/>
        <v>00:00</v>
      </c>
      <c r="Y56" s="96">
        <v>0</v>
      </c>
      <c r="Z56" s="96">
        <v>59</v>
      </c>
      <c r="AA56" s="96">
        <f t="shared" si="2"/>
        <v>59</v>
      </c>
      <c r="AB56" s="97">
        <f t="shared" si="3"/>
        <v>0</v>
      </c>
      <c r="AC56" s="97">
        <f t="shared" si="4"/>
        <v>3969.75</v>
      </c>
      <c r="AD56" s="98">
        <v>3969.75</v>
      </c>
      <c r="AE56" s="98">
        <v>4100.7</v>
      </c>
      <c r="AF56" s="98">
        <v>4104.3999999999996</v>
      </c>
      <c r="AG56" s="98">
        <f t="shared" si="5"/>
        <v>134.64999999999964</v>
      </c>
      <c r="AH56" s="99">
        <v>1484</v>
      </c>
      <c r="AI56" s="100">
        <f t="shared" si="6"/>
        <v>6090929.5999999996</v>
      </c>
      <c r="AJ56" s="100">
        <f>(0.2*AH56)*2</f>
        <v>593.6</v>
      </c>
      <c r="AK56" s="100">
        <v>0</v>
      </c>
      <c r="AL56" s="100">
        <v>47980</v>
      </c>
      <c r="AM56" s="100">
        <v>0</v>
      </c>
      <c r="AN56" s="100">
        <v>0</v>
      </c>
      <c r="AO56" s="100">
        <v>0</v>
      </c>
      <c r="AP56" s="100">
        <f t="shared" si="8"/>
        <v>306976</v>
      </c>
      <c r="AQ56" s="101">
        <f t="shared" si="18"/>
        <v>6446480</v>
      </c>
      <c r="AR56" s="101">
        <v>0</v>
      </c>
      <c r="AS56" s="101">
        <v>0</v>
      </c>
      <c r="AT56" s="102" t="s">
        <v>33</v>
      </c>
      <c r="AU56" s="109">
        <v>3</v>
      </c>
      <c r="AV56" s="100">
        <v>3.8</v>
      </c>
      <c r="AW56" s="105"/>
      <c r="AX56" s="106">
        <f t="shared" ref="AX56:AX81" si="26">IFERROR((AG56/AF56)*100, "")</f>
        <v>3.280625670012661</v>
      </c>
      <c r="AY56" s="101">
        <f t="shared" si="11"/>
        <v>199821</v>
      </c>
      <c r="AZ56" s="107"/>
      <c r="BA56" s="94">
        <v>45393.208333333336</v>
      </c>
      <c r="BB56" s="94">
        <v>45393.211805555555</v>
      </c>
      <c r="BC56" s="94">
        <v>45393.295138888891</v>
      </c>
      <c r="BD56" s="94">
        <v>45393.513888888891</v>
      </c>
      <c r="BE56" s="95">
        <f t="shared" si="21"/>
        <v>0.30555555555474712</v>
      </c>
      <c r="BF56" s="95">
        <v>4.027777777777778E-2</v>
      </c>
      <c r="BG56" s="95">
        <v>0.13194444444444445</v>
      </c>
      <c r="BH56" s="95">
        <f t="shared" si="22"/>
        <v>3.4722222189884633E-3</v>
      </c>
      <c r="BI56" s="95">
        <f t="shared" si="22"/>
        <v>8.3333333335758653E-2</v>
      </c>
      <c r="BJ56" s="95">
        <f t="shared" si="22"/>
        <v>0.21875</v>
      </c>
      <c r="BK56" s="95">
        <f t="shared" si="23"/>
        <v>0.30208333333575865</v>
      </c>
      <c r="BL56" s="95">
        <f t="shared" si="24"/>
        <v>0.1298611111135364</v>
      </c>
      <c r="BM56" s="95">
        <f t="shared" si="25"/>
        <v>9.7222222221413773E-2</v>
      </c>
      <c r="BN56" s="110"/>
    </row>
    <row r="57" spans="1:66" s="8" customFormat="1" ht="12.75" customHeight="1" x14ac:dyDescent="0.25">
      <c r="A57" s="90">
        <v>26</v>
      </c>
      <c r="B57" s="90">
        <v>26</v>
      </c>
      <c r="C57" s="90">
        <v>4</v>
      </c>
      <c r="D57" s="90" t="s">
        <v>148</v>
      </c>
      <c r="E57" s="91" t="s">
        <v>149</v>
      </c>
      <c r="F57" s="90" t="s">
        <v>16</v>
      </c>
      <c r="G57" s="90" t="s">
        <v>17</v>
      </c>
      <c r="H57" s="90" t="s">
        <v>150</v>
      </c>
      <c r="I57" s="92" t="s">
        <v>164</v>
      </c>
      <c r="J57" s="93">
        <v>45393</v>
      </c>
      <c r="K57" s="92" t="s">
        <v>122</v>
      </c>
      <c r="L57" s="92">
        <v>461000176</v>
      </c>
      <c r="M57" s="93">
        <v>45393</v>
      </c>
      <c r="N57" s="94">
        <v>45393.458333333336</v>
      </c>
      <c r="O57" s="94">
        <v>45393.458333333336</v>
      </c>
      <c r="P57" s="94">
        <v>45393.465277777781</v>
      </c>
      <c r="Q57" s="94">
        <v>45393.666666666664</v>
      </c>
      <c r="R57" s="114" t="s">
        <v>118</v>
      </c>
      <c r="S57" s="114">
        <v>45393.708333333336</v>
      </c>
      <c r="T57" s="114">
        <v>45393.770833333336</v>
      </c>
      <c r="U57" s="114">
        <v>45393.864583333336</v>
      </c>
      <c r="V57" s="95">
        <f t="shared" si="19"/>
        <v>0.20833333332848269</v>
      </c>
      <c r="W57" s="95">
        <v>0.20833333333333334</v>
      </c>
      <c r="X57" s="95" t="str">
        <f t="shared" si="20"/>
        <v>00:00</v>
      </c>
      <c r="Y57" s="96">
        <v>0</v>
      </c>
      <c r="Z57" s="96">
        <v>59</v>
      </c>
      <c r="AA57" s="96">
        <f t="shared" si="2"/>
        <v>59</v>
      </c>
      <c r="AB57" s="97">
        <f t="shared" si="3"/>
        <v>0</v>
      </c>
      <c r="AC57" s="97">
        <f t="shared" si="4"/>
        <v>4060.33</v>
      </c>
      <c r="AD57" s="98">
        <v>4060.33</v>
      </c>
      <c r="AE57" s="98">
        <v>4093.7</v>
      </c>
      <c r="AF57" s="98">
        <v>4106.2</v>
      </c>
      <c r="AG57" s="98">
        <f t="shared" si="5"/>
        <v>45.869999999999891</v>
      </c>
      <c r="AH57" s="99">
        <v>672.5</v>
      </c>
      <c r="AI57" s="100">
        <f t="shared" si="6"/>
        <v>2761419.5</v>
      </c>
      <c r="AJ57" s="100">
        <f t="shared" ref="AJ57:AJ65" si="27">(0*AH57)*2</f>
        <v>0</v>
      </c>
      <c r="AK57" s="100">
        <v>0</v>
      </c>
      <c r="AL57" s="100">
        <v>24290</v>
      </c>
      <c r="AM57" s="100">
        <v>0</v>
      </c>
      <c r="AN57" s="100">
        <v>0</v>
      </c>
      <c r="AO57" s="100">
        <v>0</v>
      </c>
      <c r="AP57" s="100">
        <f t="shared" si="8"/>
        <v>139286</v>
      </c>
      <c r="AQ57" s="101">
        <f t="shared" si="18"/>
        <v>2924996</v>
      </c>
      <c r="AR57" s="101">
        <v>0</v>
      </c>
      <c r="AS57" s="101">
        <v>0</v>
      </c>
      <c r="AT57" s="102" t="s">
        <v>33</v>
      </c>
      <c r="AU57" s="109">
        <v>8</v>
      </c>
      <c r="AV57" s="100">
        <f>19.1-11.1</f>
        <v>8.0000000000000018</v>
      </c>
      <c r="AW57" s="105"/>
      <c r="AX57" s="106">
        <f t="shared" si="26"/>
        <v>1.1170912278992715</v>
      </c>
      <c r="AY57" s="101">
        <f t="shared" si="11"/>
        <v>30848</v>
      </c>
      <c r="AZ57" s="107"/>
      <c r="BA57" s="94">
        <v>45393.458333333336</v>
      </c>
      <c r="BB57" s="94">
        <v>45393.461805555555</v>
      </c>
      <c r="BC57" s="94">
        <v>45393.569444444445</v>
      </c>
      <c r="BD57" s="94">
        <v>45393.725694444445</v>
      </c>
      <c r="BE57" s="95">
        <f t="shared" si="21"/>
        <v>0.26736111110949423</v>
      </c>
      <c r="BF57" s="95">
        <v>5.7638888888888892E-2</v>
      </c>
      <c r="BG57" s="95">
        <v>6.5972222222222224E-2</v>
      </c>
      <c r="BH57" s="95">
        <f t="shared" si="22"/>
        <v>3.4722222189884633E-3</v>
      </c>
      <c r="BI57" s="95">
        <f t="shared" si="22"/>
        <v>0.10763888889050577</v>
      </c>
      <c r="BJ57" s="95">
        <f t="shared" si="22"/>
        <v>0.15625</v>
      </c>
      <c r="BK57" s="95">
        <f t="shared" si="23"/>
        <v>0.26388888889050577</v>
      </c>
      <c r="BL57" s="95">
        <f t="shared" si="24"/>
        <v>0.14027777777939465</v>
      </c>
      <c r="BM57" s="95">
        <f t="shared" si="25"/>
        <v>5.9027777776160889E-2</v>
      </c>
      <c r="BN57" s="110"/>
    </row>
    <row r="58" spans="1:66" s="8" customFormat="1" ht="12.75" customHeight="1" x14ac:dyDescent="0.25">
      <c r="A58" s="90">
        <v>27</v>
      </c>
      <c r="B58" s="90">
        <v>27</v>
      </c>
      <c r="C58" s="90">
        <v>3</v>
      </c>
      <c r="D58" s="90" t="s">
        <v>113</v>
      </c>
      <c r="E58" s="91" t="s">
        <v>156</v>
      </c>
      <c r="F58" s="90" t="s">
        <v>37</v>
      </c>
      <c r="G58" s="90" t="s">
        <v>8</v>
      </c>
      <c r="H58" s="90" t="s">
        <v>165</v>
      </c>
      <c r="I58" s="92" t="s">
        <v>166</v>
      </c>
      <c r="J58" s="93">
        <v>45393</v>
      </c>
      <c r="K58" s="92" t="s">
        <v>117</v>
      </c>
      <c r="L58" s="92">
        <v>481000030</v>
      </c>
      <c r="M58" s="93">
        <v>45394</v>
      </c>
      <c r="N58" s="94">
        <v>45393.708333333336</v>
      </c>
      <c r="O58" s="94">
        <v>45393.708333333336</v>
      </c>
      <c r="P58" s="94">
        <v>45393.715277777781</v>
      </c>
      <c r="Q58" s="94">
        <v>45393.916666666664</v>
      </c>
      <c r="R58" s="114" t="s">
        <v>118</v>
      </c>
      <c r="S58" s="114">
        <v>45394.125</v>
      </c>
      <c r="T58" s="114">
        <v>45394.138888888891</v>
      </c>
      <c r="U58" s="114">
        <v>45394.193749999999</v>
      </c>
      <c r="V58" s="95">
        <f t="shared" si="19"/>
        <v>0.20833333332848269</v>
      </c>
      <c r="W58" s="95">
        <v>0.20833333333333334</v>
      </c>
      <c r="X58" s="95" t="str">
        <f t="shared" si="20"/>
        <v>00:00</v>
      </c>
      <c r="Y58" s="96">
        <v>0</v>
      </c>
      <c r="Z58" s="96">
        <v>59</v>
      </c>
      <c r="AA58" s="96">
        <f t="shared" si="2"/>
        <v>59</v>
      </c>
      <c r="AB58" s="97">
        <f t="shared" si="3"/>
        <v>0</v>
      </c>
      <c r="AC58" s="97">
        <f t="shared" si="4"/>
        <v>3976.5400000000004</v>
      </c>
      <c r="AD58" s="98">
        <v>3976.54</v>
      </c>
      <c r="AE58" s="98">
        <v>4113.1000000000004</v>
      </c>
      <c r="AF58" s="98">
        <v>4114.2</v>
      </c>
      <c r="AG58" s="98">
        <f t="shared" si="5"/>
        <v>137.65999999999985</v>
      </c>
      <c r="AH58" s="99">
        <v>1537.9</v>
      </c>
      <c r="AI58" s="100">
        <f t="shared" si="6"/>
        <v>6327228.1799999997</v>
      </c>
      <c r="AJ58" s="100">
        <f t="shared" si="27"/>
        <v>0</v>
      </c>
      <c r="AK58" s="100">
        <v>0</v>
      </c>
      <c r="AL58" s="100">
        <v>0</v>
      </c>
      <c r="AM58" s="100">
        <v>0</v>
      </c>
      <c r="AN58" s="100">
        <v>0</v>
      </c>
      <c r="AO58" s="100">
        <v>0</v>
      </c>
      <c r="AP58" s="100">
        <f t="shared" si="8"/>
        <v>316362</v>
      </c>
      <c r="AQ58" s="101">
        <f t="shared" si="18"/>
        <v>6643591</v>
      </c>
      <c r="AR58" s="101">
        <v>0</v>
      </c>
      <c r="AS58" s="101">
        <v>0</v>
      </c>
      <c r="AT58" s="102" t="s">
        <v>34</v>
      </c>
      <c r="AU58" s="109" t="s">
        <v>118</v>
      </c>
      <c r="AV58" s="100">
        <v>0</v>
      </c>
      <c r="AW58" s="105"/>
      <c r="AX58" s="106">
        <f t="shared" si="26"/>
        <v>3.3459724855378896</v>
      </c>
      <c r="AY58" s="101">
        <f t="shared" si="11"/>
        <v>211708</v>
      </c>
      <c r="AZ58" s="107"/>
      <c r="BA58" s="94">
        <v>45393.708333333336</v>
      </c>
      <c r="BB58" s="94">
        <v>45393.715277777781</v>
      </c>
      <c r="BC58" s="94">
        <v>45393.756944444445</v>
      </c>
      <c r="BD58" s="94">
        <v>45394.122916666667</v>
      </c>
      <c r="BE58" s="95">
        <f t="shared" si="21"/>
        <v>0.41458333333139308</v>
      </c>
      <c r="BF58" s="95">
        <v>0.11458333333333333</v>
      </c>
      <c r="BG58" s="95">
        <v>0.13263888888888889</v>
      </c>
      <c r="BH58" s="95">
        <f t="shared" si="22"/>
        <v>6.9444444452528842E-3</v>
      </c>
      <c r="BI58" s="95">
        <f t="shared" si="22"/>
        <v>4.1666666664241347E-2</v>
      </c>
      <c r="BJ58" s="95">
        <f t="shared" si="22"/>
        <v>0.36597222222189885</v>
      </c>
      <c r="BK58" s="95">
        <f t="shared" si="23"/>
        <v>0.40763888888614019</v>
      </c>
      <c r="BL58" s="95">
        <f t="shared" si="24"/>
        <v>0.16041666666391799</v>
      </c>
      <c r="BM58" s="95">
        <f t="shared" si="25"/>
        <v>0.20624999999805974</v>
      </c>
      <c r="BN58" s="110"/>
    </row>
    <row r="59" spans="1:66" s="8" customFormat="1" ht="12.75" customHeight="1" x14ac:dyDescent="0.25">
      <c r="A59" s="90">
        <v>28</v>
      </c>
      <c r="B59" s="90">
        <v>28</v>
      </c>
      <c r="C59" s="90">
        <v>8</v>
      </c>
      <c r="D59" s="90" t="s">
        <v>113</v>
      </c>
      <c r="E59" s="91" t="s">
        <v>123</v>
      </c>
      <c r="F59" s="90" t="s">
        <v>29</v>
      </c>
      <c r="G59" s="90" t="s">
        <v>8</v>
      </c>
      <c r="H59" s="90" t="s">
        <v>124</v>
      </c>
      <c r="I59" s="92" t="s">
        <v>167</v>
      </c>
      <c r="J59" s="93"/>
      <c r="K59" s="92" t="s">
        <v>122</v>
      </c>
      <c r="L59" s="92">
        <v>461000177</v>
      </c>
      <c r="M59" s="93">
        <v>45394</v>
      </c>
      <c r="N59" s="94">
        <v>45393.927083333336</v>
      </c>
      <c r="O59" s="94">
        <v>45393.927083333336</v>
      </c>
      <c r="P59" s="94">
        <v>45383.930555555555</v>
      </c>
      <c r="Q59" s="94">
        <v>45394.135416666664</v>
      </c>
      <c r="R59" s="114" t="s">
        <v>118</v>
      </c>
      <c r="S59" s="114">
        <v>45394.28125</v>
      </c>
      <c r="T59" s="114">
        <v>45394.37777777778</v>
      </c>
      <c r="U59" s="114">
        <v>45394.413194444445</v>
      </c>
      <c r="V59" s="95">
        <f t="shared" si="19"/>
        <v>0.20833333332848269</v>
      </c>
      <c r="W59" s="95">
        <v>0.20833333333333334</v>
      </c>
      <c r="X59" s="95" t="str">
        <f t="shared" si="20"/>
        <v>00:00</v>
      </c>
      <c r="Y59" s="96">
        <v>0</v>
      </c>
      <c r="Z59" s="96">
        <v>58</v>
      </c>
      <c r="AA59" s="96">
        <f t="shared" si="2"/>
        <v>58</v>
      </c>
      <c r="AB59" s="97">
        <f t="shared" si="3"/>
        <v>0</v>
      </c>
      <c r="AC59" s="97">
        <f t="shared" si="4"/>
        <v>4035.9</v>
      </c>
      <c r="AD59" s="98">
        <v>4035.9</v>
      </c>
      <c r="AE59" s="98">
        <v>4060</v>
      </c>
      <c r="AF59" s="98">
        <v>4076</v>
      </c>
      <c r="AG59" s="98">
        <f t="shared" si="5"/>
        <v>40.099999999999909</v>
      </c>
      <c r="AH59" s="99">
        <v>797.2</v>
      </c>
      <c r="AI59" s="100">
        <f t="shared" si="6"/>
        <v>3249387.2</v>
      </c>
      <c r="AJ59" s="100">
        <f t="shared" si="27"/>
        <v>0</v>
      </c>
      <c r="AK59" s="100">
        <v>0</v>
      </c>
      <c r="AL59" s="100">
        <v>24140</v>
      </c>
      <c r="AM59" s="100">
        <v>0</v>
      </c>
      <c r="AN59" s="100">
        <v>0</v>
      </c>
      <c r="AO59" s="100">
        <v>0</v>
      </c>
      <c r="AP59" s="100">
        <f t="shared" si="8"/>
        <v>163677</v>
      </c>
      <c r="AQ59" s="101">
        <f t="shared" si="18"/>
        <v>3437205</v>
      </c>
      <c r="AR59" s="101">
        <v>0</v>
      </c>
      <c r="AS59" s="101"/>
      <c r="AT59" s="102" t="s">
        <v>34</v>
      </c>
      <c r="AU59" s="109">
        <v>6</v>
      </c>
      <c r="AV59" s="100">
        <v>3.5</v>
      </c>
      <c r="AW59" s="105"/>
      <c r="AX59" s="106">
        <f t="shared" si="26"/>
        <v>0.98380765456329511</v>
      </c>
      <c r="AY59" s="101">
        <f t="shared" si="11"/>
        <v>31968</v>
      </c>
      <c r="AZ59" s="107"/>
      <c r="BA59" s="94">
        <v>45393.927083333336</v>
      </c>
      <c r="BB59" s="94">
        <v>45393.930555555555</v>
      </c>
      <c r="BC59" s="94">
        <v>45394.149305555555</v>
      </c>
      <c r="BD59" s="94">
        <v>45394.274305555555</v>
      </c>
      <c r="BE59" s="95">
        <f t="shared" si="21"/>
        <v>0.34722222221898846</v>
      </c>
      <c r="BF59" s="95">
        <v>0</v>
      </c>
      <c r="BG59" s="95">
        <v>0.21875</v>
      </c>
      <c r="BH59" s="95">
        <f t="shared" si="22"/>
        <v>3.4722222189884633E-3</v>
      </c>
      <c r="BI59" s="95">
        <f t="shared" si="22"/>
        <v>0.21875</v>
      </c>
      <c r="BJ59" s="95">
        <f t="shared" si="22"/>
        <v>0.125</v>
      </c>
      <c r="BK59" s="95">
        <f t="shared" si="23"/>
        <v>0.34375</v>
      </c>
      <c r="BL59" s="95">
        <f t="shared" si="24"/>
        <v>0.125</v>
      </c>
      <c r="BM59" s="95">
        <f t="shared" si="25"/>
        <v>0.13888888888565512</v>
      </c>
      <c r="BN59" s="110"/>
    </row>
    <row r="60" spans="1:66" s="8" customFormat="1" ht="12.75" customHeight="1" x14ac:dyDescent="0.25">
      <c r="A60" s="90">
        <v>29</v>
      </c>
      <c r="B60" s="90">
        <v>29</v>
      </c>
      <c r="C60" s="90">
        <v>5</v>
      </c>
      <c r="D60" s="90" t="s">
        <v>148</v>
      </c>
      <c r="E60" s="91" t="s">
        <v>149</v>
      </c>
      <c r="F60" s="90" t="s">
        <v>16</v>
      </c>
      <c r="G60" s="90" t="s">
        <v>17</v>
      </c>
      <c r="H60" s="90" t="s">
        <v>150</v>
      </c>
      <c r="I60" s="92" t="s">
        <v>168</v>
      </c>
      <c r="J60" s="93">
        <v>45393</v>
      </c>
      <c r="K60" s="92" t="s">
        <v>122</v>
      </c>
      <c r="L60" s="92">
        <v>461000178</v>
      </c>
      <c r="M60" s="93">
        <v>45394</v>
      </c>
      <c r="N60" s="94">
        <v>45394.46875</v>
      </c>
      <c r="O60" s="94">
        <v>45394.46875</v>
      </c>
      <c r="P60" s="94">
        <v>45394.489583333336</v>
      </c>
      <c r="Q60" s="94">
        <v>45394.65625</v>
      </c>
      <c r="R60" s="114">
        <v>45394.482638888891</v>
      </c>
      <c r="S60" s="114" t="s">
        <v>118</v>
      </c>
      <c r="T60" s="114">
        <v>45394.666666666664</v>
      </c>
      <c r="U60" s="114">
        <v>45394.777777777781</v>
      </c>
      <c r="V60" s="95">
        <f t="shared" si="19"/>
        <v>0.1875</v>
      </c>
      <c r="W60" s="95">
        <v>0.20833333333333334</v>
      </c>
      <c r="X60" s="95" t="str">
        <f t="shared" si="20"/>
        <v>00:00</v>
      </c>
      <c r="Y60" s="96">
        <v>0</v>
      </c>
      <c r="Z60" s="96">
        <v>59</v>
      </c>
      <c r="AA60" s="96">
        <f t="shared" si="2"/>
        <v>59</v>
      </c>
      <c r="AB60" s="97">
        <f t="shared" si="3"/>
        <v>0</v>
      </c>
      <c r="AC60" s="97">
        <f t="shared" si="4"/>
        <v>4013.7900000000004</v>
      </c>
      <c r="AD60" s="98">
        <v>4013.79</v>
      </c>
      <c r="AE60" s="98">
        <v>4085.4</v>
      </c>
      <c r="AF60" s="98">
        <v>4089.6</v>
      </c>
      <c r="AG60" s="98">
        <f t="shared" si="5"/>
        <v>75.809999999999945</v>
      </c>
      <c r="AH60" s="99">
        <v>672.5</v>
      </c>
      <c r="AI60" s="100">
        <f t="shared" si="6"/>
        <v>2750256</v>
      </c>
      <c r="AJ60" s="100">
        <f t="shared" si="27"/>
        <v>0</v>
      </c>
      <c r="AK60" s="100">
        <v>0</v>
      </c>
      <c r="AL60" s="100">
        <v>24290</v>
      </c>
      <c r="AM60" s="100">
        <v>0</v>
      </c>
      <c r="AN60" s="100">
        <v>0</v>
      </c>
      <c r="AO60" s="100">
        <v>0</v>
      </c>
      <c r="AP60" s="100">
        <f t="shared" si="8"/>
        <v>138728</v>
      </c>
      <c r="AQ60" s="101">
        <f t="shared" si="18"/>
        <v>2913274</v>
      </c>
      <c r="AR60" s="101">
        <v>0</v>
      </c>
      <c r="AS60" s="101">
        <v>0</v>
      </c>
      <c r="AT60" s="102" t="s">
        <v>33</v>
      </c>
      <c r="AU60" s="109">
        <v>3</v>
      </c>
      <c r="AV60" s="100">
        <f>5.8-3.3</f>
        <v>2.5</v>
      </c>
      <c r="AW60" s="105"/>
      <c r="AX60" s="106">
        <f t="shared" si="26"/>
        <v>1.8537265258215949</v>
      </c>
      <c r="AY60" s="101">
        <f t="shared" si="11"/>
        <v>50983</v>
      </c>
      <c r="AZ60" s="107"/>
      <c r="BA60" s="94">
        <v>45394.482638888891</v>
      </c>
      <c r="BB60" s="94">
        <v>45394.489583333336</v>
      </c>
      <c r="BC60" s="94">
        <v>45394.493055555555</v>
      </c>
      <c r="BD60" s="94">
        <v>45394.618055555555</v>
      </c>
      <c r="BE60" s="95">
        <f t="shared" si="21"/>
        <v>0.13541666666424135</v>
      </c>
      <c r="BF60" s="95">
        <v>0</v>
      </c>
      <c r="BG60" s="95">
        <v>3.472222222222222E-3</v>
      </c>
      <c r="BH60" s="95">
        <f t="shared" si="22"/>
        <v>6.9444444452528842E-3</v>
      </c>
      <c r="BI60" s="95">
        <f t="shared" si="22"/>
        <v>3.4722222189884633E-3</v>
      </c>
      <c r="BJ60" s="95">
        <f t="shared" si="22"/>
        <v>0.125</v>
      </c>
      <c r="BK60" s="95">
        <f t="shared" si="23"/>
        <v>0.12847222221898846</v>
      </c>
      <c r="BL60" s="95">
        <f t="shared" si="24"/>
        <v>0.12499999999676624</v>
      </c>
      <c r="BM60" s="95" t="str">
        <f t="shared" si="25"/>
        <v>00:00</v>
      </c>
      <c r="BN60" s="110"/>
    </row>
    <row r="61" spans="1:66" s="8" customFormat="1" ht="12.75" customHeight="1" x14ac:dyDescent="0.25">
      <c r="A61" s="90">
        <v>30</v>
      </c>
      <c r="B61" s="90">
        <v>30</v>
      </c>
      <c r="C61" s="90">
        <v>9</v>
      </c>
      <c r="D61" s="90" t="s">
        <v>113</v>
      </c>
      <c r="E61" s="91" t="s">
        <v>123</v>
      </c>
      <c r="F61" s="90" t="s">
        <v>29</v>
      </c>
      <c r="G61" s="90" t="s">
        <v>8</v>
      </c>
      <c r="H61" s="90" t="s">
        <v>124</v>
      </c>
      <c r="I61" s="92" t="s">
        <v>169</v>
      </c>
      <c r="J61" s="93"/>
      <c r="K61" s="92" t="s">
        <v>117</v>
      </c>
      <c r="L61" s="92">
        <v>441000003</v>
      </c>
      <c r="M61" s="93">
        <v>45395</v>
      </c>
      <c r="N61" s="94">
        <v>45394.604166666664</v>
      </c>
      <c r="O61" s="94">
        <v>45394.604166666664</v>
      </c>
      <c r="P61" s="94">
        <v>45394.611111111109</v>
      </c>
      <c r="Q61" s="94">
        <v>45394.8125</v>
      </c>
      <c r="R61" s="114" t="s">
        <v>118</v>
      </c>
      <c r="S61" s="114" t="s">
        <v>118</v>
      </c>
      <c r="T61" s="114">
        <v>45394.854166666664</v>
      </c>
      <c r="U61" s="114">
        <v>45394.996527777781</v>
      </c>
      <c r="V61" s="95">
        <f t="shared" si="19"/>
        <v>0.20833333333575865</v>
      </c>
      <c r="W61" s="95">
        <v>0.20833333333333334</v>
      </c>
      <c r="X61" s="95">
        <f t="shared" si="20"/>
        <v>2.4253099528692701E-12</v>
      </c>
      <c r="Y61" s="96">
        <v>0</v>
      </c>
      <c r="Z61" s="96">
        <v>59</v>
      </c>
      <c r="AA61" s="96">
        <f t="shared" si="2"/>
        <v>59</v>
      </c>
      <c r="AB61" s="97">
        <f t="shared" si="3"/>
        <v>0</v>
      </c>
      <c r="AC61" s="97">
        <f t="shared" si="4"/>
        <v>4056.64</v>
      </c>
      <c r="AD61" s="98">
        <v>4056.64</v>
      </c>
      <c r="AE61" s="98">
        <v>4110.3</v>
      </c>
      <c r="AF61" s="98">
        <v>4124.6000000000004</v>
      </c>
      <c r="AG61" s="98">
        <f t="shared" si="5"/>
        <v>67.960000000000491</v>
      </c>
      <c r="AH61" s="99">
        <v>797.2</v>
      </c>
      <c r="AI61" s="100">
        <f t="shared" si="6"/>
        <v>3288131.1200000006</v>
      </c>
      <c r="AJ61" s="100">
        <f t="shared" si="27"/>
        <v>0</v>
      </c>
      <c r="AK61" s="100">
        <v>0</v>
      </c>
      <c r="AL61" s="100">
        <v>24290</v>
      </c>
      <c r="AM61" s="100">
        <v>0</v>
      </c>
      <c r="AN61" s="100">
        <v>0</v>
      </c>
      <c r="AO61" s="100">
        <v>0</v>
      </c>
      <c r="AP61" s="100">
        <f t="shared" si="8"/>
        <v>165622</v>
      </c>
      <c r="AQ61" s="101">
        <f t="shared" si="18"/>
        <v>3478044</v>
      </c>
      <c r="AR61" s="101">
        <v>0</v>
      </c>
      <c r="AS61" s="101">
        <v>0</v>
      </c>
      <c r="AT61" s="102" t="s">
        <v>33</v>
      </c>
      <c r="AU61" s="109">
        <v>6</v>
      </c>
      <c r="AV61" s="100">
        <v>3.5</v>
      </c>
      <c r="AW61" s="105"/>
      <c r="AX61" s="106">
        <f t="shared" si="26"/>
        <v>1.6476749260534471</v>
      </c>
      <c r="AY61" s="101">
        <f t="shared" si="11"/>
        <v>54178</v>
      </c>
      <c r="AZ61" s="107"/>
      <c r="BA61" s="94">
        <v>45394.604166666664</v>
      </c>
      <c r="BB61" s="94">
        <v>45394.611111111109</v>
      </c>
      <c r="BC61" s="94">
        <v>45394.666666666664</v>
      </c>
      <c r="BD61" s="94">
        <v>45394.824999999997</v>
      </c>
      <c r="BE61" s="95">
        <f t="shared" si="21"/>
        <v>0.22083333333284827</v>
      </c>
      <c r="BF61" s="95">
        <v>4.7222222222222221E-2</v>
      </c>
      <c r="BG61" s="95">
        <v>1.5277777777777777E-2</v>
      </c>
      <c r="BH61" s="95">
        <f t="shared" si="22"/>
        <v>6.9444444452528842E-3</v>
      </c>
      <c r="BI61" s="95">
        <f t="shared" si="22"/>
        <v>5.5555555554747116E-2</v>
      </c>
      <c r="BJ61" s="95">
        <f t="shared" si="22"/>
        <v>0.15833333333284827</v>
      </c>
      <c r="BK61" s="95">
        <f t="shared" si="23"/>
        <v>0.21388888888759539</v>
      </c>
      <c r="BL61" s="95">
        <f t="shared" si="24"/>
        <v>0.15138888888759539</v>
      </c>
      <c r="BM61" s="95">
        <f t="shared" si="25"/>
        <v>1.2499999999514927E-2</v>
      </c>
      <c r="BN61" s="110"/>
    </row>
    <row r="62" spans="1:66" s="8" customFormat="1" ht="12.75" customHeight="1" x14ac:dyDescent="0.25">
      <c r="A62" s="90">
        <v>31</v>
      </c>
      <c r="B62" s="90">
        <v>31</v>
      </c>
      <c r="C62" s="90">
        <v>6</v>
      </c>
      <c r="D62" s="90" t="s">
        <v>148</v>
      </c>
      <c r="E62" s="91" t="s">
        <v>149</v>
      </c>
      <c r="F62" s="90" t="s">
        <v>16</v>
      </c>
      <c r="G62" s="90" t="s">
        <v>17</v>
      </c>
      <c r="H62" s="90" t="s">
        <v>150</v>
      </c>
      <c r="I62" s="92" t="s">
        <v>170</v>
      </c>
      <c r="J62" s="93">
        <v>45394</v>
      </c>
      <c r="K62" s="92" t="s">
        <v>122</v>
      </c>
      <c r="L62" s="92">
        <v>461000179</v>
      </c>
      <c r="M62" s="93">
        <v>45395</v>
      </c>
      <c r="N62" s="94">
        <v>45394.8125</v>
      </c>
      <c r="O62" s="94">
        <v>45394.8125</v>
      </c>
      <c r="P62" s="94">
        <v>45394.819444444445</v>
      </c>
      <c r="Q62" s="94">
        <v>45394.993055555555</v>
      </c>
      <c r="R62" s="114" t="s">
        <v>118</v>
      </c>
      <c r="S62" s="114" t="s">
        <v>118</v>
      </c>
      <c r="T62" s="114">
        <v>45395.006944444445</v>
      </c>
      <c r="U62" s="114">
        <v>45395.125</v>
      </c>
      <c r="V62" s="95">
        <f t="shared" si="19"/>
        <v>0.18055555555474712</v>
      </c>
      <c r="W62" s="95">
        <v>0.20833333333333334</v>
      </c>
      <c r="X62" s="95" t="str">
        <f t="shared" si="20"/>
        <v>00:00</v>
      </c>
      <c r="Y62" s="96">
        <v>0</v>
      </c>
      <c r="Z62" s="96">
        <v>58</v>
      </c>
      <c r="AA62" s="96">
        <f t="shared" si="2"/>
        <v>58</v>
      </c>
      <c r="AB62" s="97">
        <f t="shared" si="3"/>
        <v>0</v>
      </c>
      <c r="AC62" s="97">
        <f t="shared" si="4"/>
        <v>3983.6699999999996</v>
      </c>
      <c r="AD62" s="98">
        <v>3983.67</v>
      </c>
      <c r="AE62" s="98">
        <v>4041.1</v>
      </c>
      <c r="AF62" s="98">
        <v>4047.8</v>
      </c>
      <c r="AG62" s="98">
        <f t="shared" si="5"/>
        <v>64.130000000000109</v>
      </c>
      <c r="AH62" s="99">
        <v>672.5</v>
      </c>
      <c r="AI62" s="100">
        <f t="shared" si="6"/>
        <v>2722145.5</v>
      </c>
      <c r="AJ62" s="100">
        <f t="shared" si="27"/>
        <v>0</v>
      </c>
      <c r="AK62" s="100">
        <v>0</v>
      </c>
      <c r="AL62" s="100">
        <v>24140</v>
      </c>
      <c r="AM62" s="100">
        <v>0</v>
      </c>
      <c r="AN62" s="100">
        <v>0</v>
      </c>
      <c r="AO62" s="100">
        <v>0</v>
      </c>
      <c r="AP62" s="100">
        <f t="shared" si="8"/>
        <v>137315</v>
      </c>
      <c r="AQ62" s="101">
        <f t="shared" si="18"/>
        <v>2883601</v>
      </c>
      <c r="AR62" s="101">
        <v>0</v>
      </c>
      <c r="AS62" s="101">
        <v>0</v>
      </c>
      <c r="AT62" s="102" t="s">
        <v>33</v>
      </c>
      <c r="AU62" s="109">
        <v>1</v>
      </c>
      <c r="AV62" s="100">
        <f>7.23-6.23</f>
        <v>1</v>
      </c>
      <c r="AW62" s="105"/>
      <c r="AX62" s="106">
        <f t="shared" si="26"/>
        <v>1.584317406986514</v>
      </c>
      <c r="AY62" s="101">
        <f t="shared" si="11"/>
        <v>43128</v>
      </c>
      <c r="AZ62" s="107"/>
      <c r="BA62" s="94">
        <v>45394.8125</v>
      </c>
      <c r="BB62" s="94">
        <v>45394.819444444445</v>
      </c>
      <c r="BC62" s="94">
        <v>45394.844444444447</v>
      </c>
      <c r="BD62" s="94">
        <v>45394.987500000003</v>
      </c>
      <c r="BE62" s="95">
        <f t="shared" si="21"/>
        <v>0.17500000000291038</v>
      </c>
      <c r="BF62" s="95">
        <v>2.8472222222222222E-2</v>
      </c>
      <c r="BG62" s="95">
        <v>1.2500000000000001E-2</v>
      </c>
      <c r="BH62" s="95">
        <f t="shared" si="22"/>
        <v>6.9444444452528842E-3</v>
      </c>
      <c r="BI62" s="95">
        <f t="shared" si="22"/>
        <v>2.5000000001455192E-2</v>
      </c>
      <c r="BJ62" s="95">
        <f t="shared" si="22"/>
        <v>0.14305555555620231</v>
      </c>
      <c r="BK62" s="95">
        <f t="shared" si="23"/>
        <v>0.1680555555576575</v>
      </c>
      <c r="BL62" s="95">
        <f t="shared" si="24"/>
        <v>0.12708333333543526</v>
      </c>
      <c r="BM62" s="95" t="str">
        <f t="shared" si="25"/>
        <v>00:00</v>
      </c>
      <c r="BN62" s="110"/>
    </row>
    <row r="63" spans="1:66" s="8" customFormat="1" ht="12.75" customHeight="1" x14ac:dyDescent="0.25">
      <c r="A63" s="90">
        <v>32</v>
      </c>
      <c r="B63" s="90">
        <v>32</v>
      </c>
      <c r="C63" s="90">
        <v>4</v>
      </c>
      <c r="D63" s="90" t="s">
        <v>113</v>
      </c>
      <c r="E63" s="91" t="s">
        <v>156</v>
      </c>
      <c r="F63" s="90" t="s">
        <v>37</v>
      </c>
      <c r="G63" s="90" t="s">
        <v>8</v>
      </c>
      <c r="H63" s="90" t="s">
        <v>153</v>
      </c>
      <c r="I63" s="92" t="s">
        <v>171</v>
      </c>
      <c r="J63" s="93">
        <v>45393</v>
      </c>
      <c r="K63" s="92" t="s">
        <v>117</v>
      </c>
      <c r="L63" s="92">
        <v>482000338</v>
      </c>
      <c r="M63" s="93">
        <v>45395</v>
      </c>
      <c r="N63" s="94">
        <v>45395.083333333336</v>
      </c>
      <c r="O63" s="94">
        <v>45395.083333333336</v>
      </c>
      <c r="P63" s="94">
        <v>45395.090277777781</v>
      </c>
      <c r="Q63" s="94">
        <v>45395.291666666664</v>
      </c>
      <c r="R63" s="114" t="s">
        <v>118</v>
      </c>
      <c r="S63" s="114">
        <v>45395.364583333336</v>
      </c>
      <c r="T63" s="114">
        <v>45395.375</v>
      </c>
      <c r="U63" s="114">
        <v>45395.472222222219</v>
      </c>
      <c r="V63" s="95">
        <f t="shared" si="19"/>
        <v>0.20833333332848269</v>
      </c>
      <c r="W63" s="95">
        <v>0.20833333333333334</v>
      </c>
      <c r="X63" s="95" t="str">
        <f t="shared" si="20"/>
        <v>00:00</v>
      </c>
      <c r="Y63" s="96">
        <v>0</v>
      </c>
      <c r="Z63" s="96">
        <v>58</v>
      </c>
      <c r="AA63" s="96">
        <f t="shared" si="2"/>
        <v>58</v>
      </c>
      <c r="AB63" s="97">
        <f t="shared" si="3"/>
        <v>0</v>
      </c>
      <c r="AC63" s="97">
        <f t="shared" si="4"/>
        <v>3960.4799999999996</v>
      </c>
      <c r="AD63" s="98">
        <v>3960.48</v>
      </c>
      <c r="AE63" s="98">
        <v>4022.8</v>
      </c>
      <c r="AF63" s="98">
        <v>4034.8</v>
      </c>
      <c r="AG63" s="98">
        <f t="shared" si="5"/>
        <v>74.320000000000164</v>
      </c>
      <c r="AH63" s="99">
        <v>1484</v>
      </c>
      <c r="AI63" s="100">
        <f t="shared" si="6"/>
        <v>5987643.2000000002</v>
      </c>
      <c r="AJ63" s="100">
        <f t="shared" si="27"/>
        <v>0</v>
      </c>
      <c r="AK63" s="100">
        <v>0</v>
      </c>
      <c r="AL63" s="100">
        <v>24140</v>
      </c>
      <c r="AM63" s="100">
        <v>0</v>
      </c>
      <c r="AN63" s="100">
        <v>0</v>
      </c>
      <c r="AO63" s="100">
        <v>0</v>
      </c>
      <c r="AP63" s="100">
        <f t="shared" ref="AP63:AP94" si="28">ROUNDUP(SUM(AI63:AO63)*5%,0)</f>
        <v>300590</v>
      </c>
      <c r="AQ63" s="101">
        <f t="shared" si="18"/>
        <v>6312374</v>
      </c>
      <c r="AR63" s="101">
        <v>0</v>
      </c>
      <c r="AS63" s="101">
        <v>0</v>
      </c>
      <c r="AT63" s="102" t="s">
        <v>33</v>
      </c>
      <c r="AU63" s="109">
        <v>7</v>
      </c>
      <c r="AV63" s="100">
        <v>5.5</v>
      </c>
      <c r="AW63" s="105"/>
      <c r="AX63" s="106">
        <f t="shared" si="26"/>
        <v>1.8419748190740597</v>
      </c>
      <c r="AY63" s="101">
        <f t="shared" si="11"/>
        <v>110291</v>
      </c>
      <c r="AZ63" s="107"/>
      <c r="BA63" s="94">
        <v>45395.083333333336</v>
      </c>
      <c r="BB63" s="94">
        <v>45395.090277777781</v>
      </c>
      <c r="BC63" s="94">
        <v>45395.090277777781</v>
      </c>
      <c r="BD63" s="94">
        <v>45395.364583333336</v>
      </c>
      <c r="BE63" s="95">
        <f t="shared" si="21"/>
        <v>0.28125</v>
      </c>
      <c r="BF63" s="95">
        <v>5.4166666666666669E-2</v>
      </c>
      <c r="BG63" s="95">
        <v>8.4722222222222227E-2</v>
      </c>
      <c r="BH63" s="95">
        <f t="shared" si="22"/>
        <v>6.9444444452528842E-3</v>
      </c>
      <c r="BI63" s="95">
        <f t="shared" si="22"/>
        <v>0</v>
      </c>
      <c r="BJ63" s="95">
        <f t="shared" si="22"/>
        <v>0.27430555555474712</v>
      </c>
      <c r="BK63" s="95">
        <f t="shared" si="23"/>
        <v>0.27430555555474712</v>
      </c>
      <c r="BL63" s="95">
        <f t="shared" si="24"/>
        <v>0.13541666666585822</v>
      </c>
      <c r="BM63" s="95">
        <f t="shared" si="25"/>
        <v>7.2916666666666657E-2</v>
      </c>
      <c r="BN63" s="110"/>
    </row>
    <row r="64" spans="1:66" s="8" customFormat="1" ht="12.75" customHeight="1" x14ac:dyDescent="0.25">
      <c r="A64" s="90">
        <v>33</v>
      </c>
      <c r="B64" s="90">
        <v>33</v>
      </c>
      <c r="C64" s="90">
        <v>7</v>
      </c>
      <c r="D64" s="90" t="s">
        <v>148</v>
      </c>
      <c r="E64" s="91" t="s">
        <v>149</v>
      </c>
      <c r="F64" s="90" t="s">
        <v>16</v>
      </c>
      <c r="G64" s="90" t="s">
        <v>17</v>
      </c>
      <c r="H64" s="90" t="s">
        <v>150</v>
      </c>
      <c r="I64" s="92" t="s">
        <v>172</v>
      </c>
      <c r="J64" s="93">
        <v>45394</v>
      </c>
      <c r="K64" s="92" t="s">
        <v>122</v>
      </c>
      <c r="L64" s="92">
        <v>461000180</v>
      </c>
      <c r="M64" s="93">
        <v>45395</v>
      </c>
      <c r="N64" s="94">
        <v>45395.25</v>
      </c>
      <c r="O64" s="94">
        <v>45395.25</v>
      </c>
      <c r="P64" s="94">
        <v>45395.253472222219</v>
      </c>
      <c r="Q64" s="94">
        <v>45395.458333333336</v>
      </c>
      <c r="R64" s="114" t="s">
        <v>118</v>
      </c>
      <c r="S64" s="114">
        <v>45395.5</v>
      </c>
      <c r="T64" s="114">
        <v>45395.520833333336</v>
      </c>
      <c r="U64" s="114">
        <v>45395.666666666664</v>
      </c>
      <c r="V64" s="95">
        <f t="shared" si="19"/>
        <v>0.20833333333575865</v>
      </c>
      <c r="W64" s="95">
        <v>0.20833333333333334</v>
      </c>
      <c r="X64" s="95">
        <f t="shared" si="20"/>
        <v>2.4253099528692701E-12</v>
      </c>
      <c r="Y64" s="96">
        <v>0</v>
      </c>
      <c r="Z64" s="96">
        <v>59</v>
      </c>
      <c r="AA64" s="96">
        <f t="shared" si="2"/>
        <v>59</v>
      </c>
      <c r="AB64" s="97">
        <f t="shared" si="3"/>
        <v>0</v>
      </c>
      <c r="AC64" s="97">
        <f t="shared" si="4"/>
        <v>4057.0300000000007</v>
      </c>
      <c r="AD64" s="98">
        <v>4057.03</v>
      </c>
      <c r="AE64" s="98">
        <v>4110.8</v>
      </c>
      <c r="AF64" s="98">
        <v>4115.6000000000004</v>
      </c>
      <c r="AG64" s="98">
        <f t="shared" si="5"/>
        <v>58.570000000000164</v>
      </c>
      <c r="AH64" s="99">
        <v>672.5</v>
      </c>
      <c r="AI64" s="100">
        <f t="shared" si="6"/>
        <v>2767741.0000000005</v>
      </c>
      <c r="AJ64" s="100">
        <f t="shared" si="27"/>
        <v>0</v>
      </c>
      <c r="AK64" s="100">
        <v>0</v>
      </c>
      <c r="AL64" s="100">
        <v>24290</v>
      </c>
      <c r="AM64" s="100">
        <v>0</v>
      </c>
      <c r="AN64" s="100">
        <v>0</v>
      </c>
      <c r="AO64" s="100">
        <v>0</v>
      </c>
      <c r="AP64" s="100">
        <f t="shared" si="28"/>
        <v>139602</v>
      </c>
      <c r="AQ64" s="101">
        <f t="shared" si="18"/>
        <v>2931633</v>
      </c>
      <c r="AR64" s="101">
        <v>0</v>
      </c>
      <c r="AS64" s="101">
        <v>0</v>
      </c>
      <c r="AT64" s="102" t="s">
        <v>33</v>
      </c>
      <c r="AU64" s="109">
        <v>3</v>
      </c>
      <c r="AV64" s="100">
        <v>2</v>
      </c>
      <c r="AW64" s="105"/>
      <c r="AX64" s="106">
        <f t="shared" si="26"/>
        <v>1.4231217805423306</v>
      </c>
      <c r="AY64" s="101">
        <f t="shared" si="11"/>
        <v>39389</v>
      </c>
      <c r="AZ64" s="107"/>
      <c r="BA64" s="94">
        <v>45395.25</v>
      </c>
      <c r="BB64" s="94">
        <v>45395.253472222219</v>
      </c>
      <c r="BC64" s="94">
        <v>45395.385416666664</v>
      </c>
      <c r="BD64" s="94">
        <v>45395.5</v>
      </c>
      <c r="BE64" s="95">
        <f t="shared" si="21"/>
        <v>0.25</v>
      </c>
      <c r="BF64" s="95">
        <v>2.4305555555555556E-2</v>
      </c>
      <c r="BG64" s="95">
        <v>0.1111111111111111</v>
      </c>
      <c r="BH64" s="95">
        <f t="shared" si="22"/>
        <v>3.4722222189884633E-3</v>
      </c>
      <c r="BI64" s="95">
        <f t="shared" si="22"/>
        <v>0.13194444444525288</v>
      </c>
      <c r="BJ64" s="95">
        <f t="shared" si="22"/>
        <v>0.11458333333575865</v>
      </c>
      <c r="BK64" s="95">
        <f t="shared" si="23"/>
        <v>0.24652777778101154</v>
      </c>
      <c r="BL64" s="95">
        <f t="shared" si="24"/>
        <v>0.11111111111434488</v>
      </c>
      <c r="BM64" s="95">
        <f t="shared" si="25"/>
        <v>4.1666666666666657E-2</v>
      </c>
      <c r="BN64" s="110"/>
    </row>
    <row r="65" spans="1:66" s="8" customFormat="1" ht="12.75" customHeight="1" x14ac:dyDescent="0.25">
      <c r="A65" s="90">
        <v>34</v>
      </c>
      <c r="B65" s="90">
        <v>34</v>
      </c>
      <c r="C65" s="90">
        <v>2</v>
      </c>
      <c r="D65" s="90" t="s">
        <v>113</v>
      </c>
      <c r="E65" s="91" t="s">
        <v>173</v>
      </c>
      <c r="F65" s="90" t="s">
        <v>27</v>
      </c>
      <c r="G65" s="90" t="s">
        <v>12</v>
      </c>
      <c r="H65" s="90" t="s">
        <v>115</v>
      </c>
      <c r="I65" s="92" t="s">
        <v>174</v>
      </c>
      <c r="J65" s="93">
        <v>45395</v>
      </c>
      <c r="K65" s="92" t="s">
        <v>117</v>
      </c>
      <c r="L65" s="92">
        <v>282000889</v>
      </c>
      <c r="M65" s="93">
        <v>45396</v>
      </c>
      <c r="N65" s="94">
        <v>45395.541666666664</v>
      </c>
      <c r="O65" s="94">
        <v>45395.541666666664</v>
      </c>
      <c r="P65" s="94">
        <v>45395.548611111109</v>
      </c>
      <c r="Q65" s="94">
        <v>45395.75</v>
      </c>
      <c r="R65" s="114" t="s">
        <v>118</v>
      </c>
      <c r="S65" s="114" t="s">
        <v>118</v>
      </c>
      <c r="T65" s="114">
        <v>45395.791666666664</v>
      </c>
      <c r="U65" s="114">
        <v>45395.940972222219</v>
      </c>
      <c r="V65" s="95">
        <f t="shared" si="19"/>
        <v>0.20833333333575865</v>
      </c>
      <c r="W65" s="95">
        <v>0.20833333333333334</v>
      </c>
      <c r="X65" s="95">
        <f t="shared" si="20"/>
        <v>2.4253099528692701E-12</v>
      </c>
      <c r="Y65" s="96">
        <v>0</v>
      </c>
      <c r="Z65" s="96">
        <v>59</v>
      </c>
      <c r="AA65" s="96">
        <f t="shared" si="2"/>
        <v>59</v>
      </c>
      <c r="AB65" s="97">
        <f t="shared" si="3"/>
        <v>0</v>
      </c>
      <c r="AC65" s="97">
        <f t="shared" si="4"/>
        <v>4013.7</v>
      </c>
      <c r="AD65" s="98">
        <v>4013.7</v>
      </c>
      <c r="AE65" s="98">
        <v>4105.8</v>
      </c>
      <c r="AF65" s="98">
        <v>4112.3999999999996</v>
      </c>
      <c r="AG65" s="98">
        <f t="shared" si="5"/>
        <v>98.699999999999818</v>
      </c>
      <c r="AH65" s="99">
        <v>1586.7</v>
      </c>
      <c r="AI65" s="100">
        <f t="shared" si="6"/>
        <v>6525145.0800000001</v>
      </c>
      <c r="AJ65" s="100">
        <f t="shared" si="27"/>
        <v>0</v>
      </c>
      <c r="AK65" s="100">
        <v>0</v>
      </c>
      <c r="AL65" s="100">
        <v>24290</v>
      </c>
      <c r="AM65" s="100">
        <v>0</v>
      </c>
      <c r="AN65" s="100">
        <v>0</v>
      </c>
      <c r="AO65" s="100">
        <f>IFERROR(AF65*20+(((AJ65/AH65)/2)*20),0)</f>
        <v>82248</v>
      </c>
      <c r="AP65" s="100">
        <f t="shared" si="28"/>
        <v>331585</v>
      </c>
      <c r="AQ65" s="101">
        <f t="shared" si="18"/>
        <v>6963269</v>
      </c>
      <c r="AR65" s="101">
        <v>0</v>
      </c>
      <c r="AS65" s="101">
        <v>0</v>
      </c>
      <c r="AT65" s="102" t="s">
        <v>33</v>
      </c>
      <c r="AU65" s="109">
        <v>3</v>
      </c>
      <c r="AV65" s="100">
        <v>3</v>
      </c>
      <c r="AW65" s="105"/>
      <c r="AX65" s="106">
        <f t="shared" si="26"/>
        <v>2.4000583600817</v>
      </c>
      <c r="AY65" s="101">
        <f t="shared" si="11"/>
        <v>156608</v>
      </c>
      <c r="AZ65" s="107"/>
      <c r="BA65" s="94">
        <v>45395.541666666664</v>
      </c>
      <c r="BB65" s="94">
        <v>45395.541666666664</v>
      </c>
      <c r="BC65" s="94">
        <v>45395.5625</v>
      </c>
      <c r="BD65" s="94">
        <v>45395.75</v>
      </c>
      <c r="BE65" s="95">
        <f t="shared" si="21"/>
        <v>0.20833333333575865</v>
      </c>
      <c r="BF65" s="95">
        <v>4.6527777777777779E-2</v>
      </c>
      <c r="BG65" s="95">
        <v>1.9444444444444445E-2</v>
      </c>
      <c r="BH65" s="95">
        <f t="shared" si="22"/>
        <v>0</v>
      </c>
      <c r="BI65" s="95">
        <f t="shared" si="22"/>
        <v>2.0833333335758653E-2</v>
      </c>
      <c r="BJ65" s="95">
        <f t="shared" si="22"/>
        <v>0.1875</v>
      </c>
      <c r="BK65" s="95">
        <f t="shared" si="23"/>
        <v>0.20833333333575865</v>
      </c>
      <c r="BL65" s="95">
        <f t="shared" si="24"/>
        <v>0.14236111111353644</v>
      </c>
      <c r="BM65" s="95">
        <f t="shared" si="25"/>
        <v>2.4253099528692701E-12</v>
      </c>
      <c r="BN65" s="110"/>
    </row>
    <row r="66" spans="1:66" s="8" customFormat="1" ht="12.75" customHeight="1" x14ac:dyDescent="0.25">
      <c r="A66" s="90">
        <v>35</v>
      </c>
      <c r="B66" s="90">
        <v>35</v>
      </c>
      <c r="C66" s="90">
        <v>8</v>
      </c>
      <c r="D66" s="90" t="s">
        <v>148</v>
      </c>
      <c r="E66" s="91" t="s">
        <v>149</v>
      </c>
      <c r="F66" s="90" t="s">
        <v>16</v>
      </c>
      <c r="G66" s="90" t="s">
        <v>17</v>
      </c>
      <c r="H66" s="90" t="s">
        <v>150</v>
      </c>
      <c r="I66" s="92" t="s">
        <v>175</v>
      </c>
      <c r="J66" s="93">
        <v>45395</v>
      </c>
      <c r="K66" s="92" t="s">
        <v>122</v>
      </c>
      <c r="L66" s="92">
        <v>461000181</v>
      </c>
      <c r="M66" s="93">
        <v>45396</v>
      </c>
      <c r="N66" s="94">
        <v>45395.708333333336</v>
      </c>
      <c r="O66" s="94">
        <v>45395.708333333336</v>
      </c>
      <c r="P66" s="94">
        <v>45395.711805555555</v>
      </c>
      <c r="Q66" s="94">
        <v>45395.916666666664</v>
      </c>
      <c r="R66" s="114" t="s">
        <v>118</v>
      </c>
      <c r="S66" s="114" t="s">
        <v>118</v>
      </c>
      <c r="T66" s="114">
        <v>45396.006944444445</v>
      </c>
      <c r="U66" s="114">
        <v>45396.100694444445</v>
      </c>
      <c r="V66" s="95">
        <f t="shared" si="19"/>
        <v>0.20833333332848269</v>
      </c>
      <c r="W66" s="95">
        <v>0.20833333333333334</v>
      </c>
      <c r="X66" s="95" t="str">
        <f t="shared" si="20"/>
        <v>00:00</v>
      </c>
      <c r="Y66" s="96">
        <v>0</v>
      </c>
      <c r="Z66" s="96">
        <v>59</v>
      </c>
      <c r="AA66" s="96">
        <f t="shared" si="2"/>
        <v>59</v>
      </c>
      <c r="AB66" s="97">
        <f t="shared" si="3"/>
        <v>0</v>
      </c>
      <c r="AC66" s="97">
        <f t="shared" si="4"/>
        <v>4059.1799999999994</v>
      </c>
      <c r="AD66" s="98">
        <v>4059.18</v>
      </c>
      <c r="AE66" s="98">
        <v>4110</v>
      </c>
      <c r="AF66" s="98">
        <v>4117.8</v>
      </c>
      <c r="AG66" s="98">
        <f t="shared" si="5"/>
        <v>58.620000000000346</v>
      </c>
      <c r="AH66" s="99">
        <v>672.5</v>
      </c>
      <c r="AI66" s="100">
        <f t="shared" si="6"/>
        <v>2769220.5</v>
      </c>
      <c r="AJ66" s="100">
        <f>(0.4*AH66)*2</f>
        <v>538</v>
      </c>
      <c r="AK66" s="100">
        <v>0</v>
      </c>
      <c r="AL66" s="100">
        <v>0</v>
      </c>
      <c r="AM66" s="100">
        <v>0</v>
      </c>
      <c r="AN66" s="100">
        <v>0</v>
      </c>
      <c r="AO66" s="100">
        <v>0</v>
      </c>
      <c r="AP66" s="100">
        <f t="shared" si="28"/>
        <v>138488</v>
      </c>
      <c r="AQ66" s="101">
        <f t="shared" si="18"/>
        <v>2908247</v>
      </c>
      <c r="AR66" s="101">
        <v>0</v>
      </c>
      <c r="AS66" s="101">
        <v>0</v>
      </c>
      <c r="AT66" s="102" t="s">
        <v>33</v>
      </c>
      <c r="AU66" s="109" t="s">
        <v>118</v>
      </c>
      <c r="AV66" s="100">
        <v>0</v>
      </c>
      <c r="AW66" s="105"/>
      <c r="AX66" s="106">
        <f t="shared" si="26"/>
        <v>1.4235756957598802</v>
      </c>
      <c r="AY66" s="101">
        <f t="shared" si="11"/>
        <v>39422</v>
      </c>
      <c r="AZ66" s="107"/>
      <c r="BA66" s="94">
        <v>45395.708333333336</v>
      </c>
      <c r="BB66" s="94">
        <v>45395.711805555555</v>
      </c>
      <c r="BC66" s="94">
        <v>45395.762499999997</v>
      </c>
      <c r="BD66" s="94">
        <v>45395.916666666664</v>
      </c>
      <c r="BE66" s="95">
        <f t="shared" si="21"/>
        <v>0.20833333332848269</v>
      </c>
      <c r="BF66" s="95">
        <v>3.0555555555555555E-2</v>
      </c>
      <c r="BG66" s="95">
        <v>4.7222222222222221E-2</v>
      </c>
      <c r="BH66" s="95">
        <f t="shared" si="22"/>
        <v>3.4722222189884633E-3</v>
      </c>
      <c r="BI66" s="95">
        <f t="shared" si="22"/>
        <v>5.0694444442342501E-2</v>
      </c>
      <c r="BJ66" s="95">
        <f t="shared" si="22"/>
        <v>0.15416666666715173</v>
      </c>
      <c r="BK66" s="95">
        <f t="shared" si="23"/>
        <v>0.20486111110949423</v>
      </c>
      <c r="BL66" s="95">
        <f t="shared" si="24"/>
        <v>0.12708333333171645</v>
      </c>
      <c r="BM66" s="95" t="str">
        <f t="shared" si="25"/>
        <v>00:00</v>
      </c>
      <c r="BN66" s="110"/>
    </row>
    <row r="67" spans="1:66" s="8" customFormat="1" ht="12.75" customHeight="1" x14ac:dyDescent="0.25">
      <c r="A67" s="90">
        <v>36</v>
      </c>
      <c r="B67" s="90">
        <v>36</v>
      </c>
      <c r="C67" s="90">
        <v>8</v>
      </c>
      <c r="D67" s="90" t="s">
        <v>113</v>
      </c>
      <c r="E67" s="91" t="s">
        <v>126</v>
      </c>
      <c r="F67" s="90" t="s">
        <v>32</v>
      </c>
      <c r="G67" s="90" t="s">
        <v>15</v>
      </c>
      <c r="H67" s="90" t="s">
        <v>127</v>
      </c>
      <c r="I67" s="92" t="s">
        <v>176</v>
      </c>
      <c r="J67" s="93">
        <v>45395</v>
      </c>
      <c r="K67" s="92" t="s">
        <v>117</v>
      </c>
      <c r="L67" s="92">
        <v>262009561</v>
      </c>
      <c r="M67" s="93">
        <v>45396</v>
      </c>
      <c r="N67" s="94">
        <v>45395.979166666664</v>
      </c>
      <c r="O67" s="94">
        <v>45395.979166666664</v>
      </c>
      <c r="P67" s="94">
        <v>45395.982638888891</v>
      </c>
      <c r="Q67" s="94">
        <v>45396.180555555555</v>
      </c>
      <c r="R67" s="114" t="s">
        <v>118</v>
      </c>
      <c r="S67" s="114" t="s">
        <v>118</v>
      </c>
      <c r="T67" s="114">
        <v>45396.208333333336</v>
      </c>
      <c r="U67" s="114">
        <v>45396.354166666664</v>
      </c>
      <c r="V67" s="95">
        <f t="shared" si="19"/>
        <v>0.20138888889050577</v>
      </c>
      <c r="W67" s="95">
        <v>0.20833333333333334</v>
      </c>
      <c r="X67" s="95" t="str">
        <f t="shared" si="20"/>
        <v>00:00</v>
      </c>
      <c r="Y67" s="96">
        <v>0</v>
      </c>
      <c r="Z67" s="96">
        <v>58</v>
      </c>
      <c r="AA67" s="96">
        <f t="shared" si="2"/>
        <v>58</v>
      </c>
      <c r="AB67" s="97">
        <f t="shared" si="3"/>
        <v>0</v>
      </c>
      <c r="AC67" s="97">
        <f t="shared" si="4"/>
        <v>3972.9199999999996</v>
      </c>
      <c r="AD67" s="98">
        <v>3972.92</v>
      </c>
      <c r="AE67" s="98">
        <v>4043.8</v>
      </c>
      <c r="AF67" s="98">
        <v>4046.8</v>
      </c>
      <c r="AG67" s="98">
        <f t="shared" si="5"/>
        <v>73.880000000000109</v>
      </c>
      <c r="AH67" s="99">
        <v>1484</v>
      </c>
      <c r="AI67" s="100">
        <f t="shared" si="6"/>
        <v>6005451.2000000002</v>
      </c>
      <c r="AJ67" s="100">
        <f>(0*AH67)*2</f>
        <v>0</v>
      </c>
      <c r="AK67" s="100">
        <v>0</v>
      </c>
      <c r="AL67" s="100">
        <v>24140</v>
      </c>
      <c r="AM67" s="100">
        <v>0</v>
      </c>
      <c r="AN67" s="100">
        <v>0</v>
      </c>
      <c r="AO67" s="100">
        <v>0</v>
      </c>
      <c r="AP67" s="100">
        <f t="shared" si="28"/>
        <v>301480</v>
      </c>
      <c r="AQ67" s="101">
        <f t="shared" si="18"/>
        <v>6331072</v>
      </c>
      <c r="AR67" s="101">
        <v>0</v>
      </c>
      <c r="AS67" s="101">
        <v>0</v>
      </c>
      <c r="AT67" s="102" t="s">
        <v>33</v>
      </c>
      <c r="AU67" s="109">
        <v>2</v>
      </c>
      <c r="AV67" s="100">
        <v>1.5</v>
      </c>
      <c r="AW67" s="105"/>
      <c r="AX67" s="106">
        <f t="shared" si="26"/>
        <v>1.8256400118612262</v>
      </c>
      <c r="AY67" s="101">
        <f t="shared" si="11"/>
        <v>109638</v>
      </c>
      <c r="AZ67" s="107"/>
      <c r="BA67" s="94">
        <v>45395.979166666664</v>
      </c>
      <c r="BB67" s="94">
        <v>45395.982638888891</v>
      </c>
      <c r="BC67" s="94">
        <v>45396</v>
      </c>
      <c r="BD67" s="94">
        <v>45396.180555555555</v>
      </c>
      <c r="BE67" s="95">
        <f t="shared" si="21"/>
        <v>0.20138888889050577</v>
      </c>
      <c r="BF67" s="95">
        <v>3.1944444444444442E-2</v>
      </c>
      <c r="BG67" s="95">
        <v>6.5277777777777782E-2</v>
      </c>
      <c r="BH67" s="95">
        <f t="shared" si="22"/>
        <v>3.4722222262644209E-3</v>
      </c>
      <c r="BI67" s="95">
        <f t="shared" si="22"/>
        <v>1.7361111109494232E-2</v>
      </c>
      <c r="BJ67" s="95">
        <f t="shared" si="22"/>
        <v>0.18055555555474712</v>
      </c>
      <c r="BK67" s="95">
        <f t="shared" si="23"/>
        <v>0.19791666666424135</v>
      </c>
      <c r="BL67" s="95">
        <f t="shared" si="24"/>
        <v>0.10069444444201912</v>
      </c>
      <c r="BM67" s="95" t="str">
        <f t="shared" si="25"/>
        <v>00:00</v>
      </c>
      <c r="BN67" s="110"/>
    </row>
    <row r="68" spans="1:66" s="8" customFormat="1" ht="12.75" customHeight="1" x14ac:dyDescent="0.25">
      <c r="A68" s="90">
        <v>37</v>
      </c>
      <c r="B68" s="90">
        <v>37</v>
      </c>
      <c r="C68" s="90">
        <v>9</v>
      </c>
      <c r="D68" s="90" t="s">
        <v>148</v>
      </c>
      <c r="E68" s="91" t="s">
        <v>149</v>
      </c>
      <c r="F68" s="90" t="s">
        <v>16</v>
      </c>
      <c r="G68" s="90" t="s">
        <v>17</v>
      </c>
      <c r="H68" s="90" t="s">
        <v>150</v>
      </c>
      <c r="I68" s="92" t="s">
        <v>177</v>
      </c>
      <c r="J68" s="93">
        <v>45395</v>
      </c>
      <c r="K68" s="92" t="s">
        <v>122</v>
      </c>
      <c r="L68" s="92">
        <v>461000182</v>
      </c>
      <c r="M68" s="93">
        <v>45396</v>
      </c>
      <c r="N68" s="94">
        <v>45396.166666666664</v>
      </c>
      <c r="O68" s="94">
        <v>45396.166666666664</v>
      </c>
      <c r="P68" s="94">
        <v>45396.170138888891</v>
      </c>
      <c r="Q68" s="94">
        <v>45396.375</v>
      </c>
      <c r="R68" s="114" t="s">
        <v>118</v>
      </c>
      <c r="S68" s="114" t="s">
        <v>118</v>
      </c>
      <c r="T68" s="114">
        <v>45396.395833333336</v>
      </c>
      <c r="U68" s="114">
        <v>45396.513194444444</v>
      </c>
      <c r="V68" s="95">
        <f t="shared" si="19"/>
        <v>0.20833333333575865</v>
      </c>
      <c r="W68" s="95">
        <v>0.20833333333333334</v>
      </c>
      <c r="X68" s="95">
        <f t="shared" si="20"/>
        <v>2.4253099528692701E-12</v>
      </c>
      <c r="Y68" s="96">
        <v>0</v>
      </c>
      <c r="Z68" s="96">
        <v>58</v>
      </c>
      <c r="AA68" s="96">
        <f t="shared" si="2"/>
        <v>58</v>
      </c>
      <c r="AB68" s="97">
        <f t="shared" si="3"/>
        <v>0</v>
      </c>
      <c r="AC68" s="97">
        <f t="shared" si="4"/>
        <v>4008.3999999999996</v>
      </c>
      <c r="AD68" s="98">
        <v>4008.4</v>
      </c>
      <c r="AE68" s="98">
        <v>4060</v>
      </c>
      <c r="AF68" s="98">
        <v>4064.2</v>
      </c>
      <c r="AG68" s="98">
        <f t="shared" si="5"/>
        <v>55.799999999999727</v>
      </c>
      <c r="AH68" s="99">
        <v>672.5</v>
      </c>
      <c r="AI68" s="100">
        <f t="shared" si="6"/>
        <v>2733174.5</v>
      </c>
      <c r="AJ68" s="100">
        <f>(0.2*AH68)*2</f>
        <v>269</v>
      </c>
      <c r="AK68" s="100">
        <v>0</v>
      </c>
      <c r="AL68" s="100">
        <v>0</v>
      </c>
      <c r="AM68" s="100">
        <v>0</v>
      </c>
      <c r="AN68" s="100">
        <v>0</v>
      </c>
      <c r="AO68" s="100">
        <v>0</v>
      </c>
      <c r="AP68" s="100">
        <f t="shared" si="28"/>
        <v>136673</v>
      </c>
      <c r="AQ68" s="101">
        <f t="shared" si="18"/>
        <v>2870117</v>
      </c>
      <c r="AR68" s="101">
        <v>0</v>
      </c>
      <c r="AS68" s="101">
        <v>0</v>
      </c>
      <c r="AT68" s="102" t="s">
        <v>34</v>
      </c>
      <c r="AU68" s="109" t="s">
        <v>118</v>
      </c>
      <c r="AV68" s="100">
        <v>0</v>
      </c>
      <c r="AW68" s="105"/>
      <c r="AX68" s="106">
        <f t="shared" si="26"/>
        <v>1.3729639289404982</v>
      </c>
      <c r="AY68" s="101">
        <f t="shared" si="11"/>
        <v>37526</v>
      </c>
      <c r="AZ68" s="107"/>
      <c r="BA68" s="94">
        <v>45396.166666666664</v>
      </c>
      <c r="BB68" s="94">
        <v>45396.170138888891</v>
      </c>
      <c r="BC68" s="94">
        <v>45396.194444444445</v>
      </c>
      <c r="BD68" s="94">
        <v>45396.308333333334</v>
      </c>
      <c r="BE68" s="95">
        <f t="shared" si="21"/>
        <v>0.14166666667006211</v>
      </c>
      <c r="BF68" s="95">
        <v>1.4583333333333334E-2</v>
      </c>
      <c r="BG68" s="95">
        <v>9.7222222222222224E-3</v>
      </c>
      <c r="BH68" s="95">
        <f t="shared" si="22"/>
        <v>3.4722222262644209E-3</v>
      </c>
      <c r="BI68" s="95">
        <f t="shared" si="22"/>
        <v>2.4305555554747116E-2</v>
      </c>
      <c r="BJ68" s="95">
        <f t="shared" si="22"/>
        <v>0.11388888888905058</v>
      </c>
      <c r="BK68" s="95">
        <f t="shared" si="23"/>
        <v>0.13819444444379769</v>
      </c>
      <c r="BL68" s="95">
        <f t="shared" si="24"/>
        <v>0.11388888888824214</v>
      </c>
      <c r="BM68" s="95" t="str">
        <f t="shared" si="25"/>
        <v>00:00</v>
      </c>
      <c r="BN68" s="110"/>
    </row>
    <row r="69" spans="1:66" s="8" customFormat="1" ht="12.75" customHeight="1" x14ac:dyDescent="0.25">
      <c r="A69" s="90">
        <v>38</v>
      </c>
      <c r="B69" s="90">
        <v>38</v>
      </c>
      <c r="C69" s="90">
        <v>10</v>
      </c>
      <c r="D69" s="90" t="s">
        <v>148</v>
      </c>
      <c r="E69" s="91" t="s">
        <v>149</v>
      </c>
      <c r="F69" s="90" t="s">
        <v>16</v>
      </c>
      <c r="G69" s="90" t="s">
        <v>17</v>
      </c>
      <c r="H69" s="90" t="s">
        <v>150</v>
      </c>
      <c r="I69" s="92" t="s">
        <v>178</v>
      </c>
      <c r="J69" s="93">
        <v>45395</v>
      </c>
      <c r="K69" s="92" t="s">
        <v>117</v>
      </c>
      <c r="L69" s="92">
        <v>461000183</v>
      </c>
      <c r="M69" s="93">
        <v>45396</v>
      </c>
      <c r="N69" s="94">
        <v>45396.385416666664</v>
      </c>
      <c r="O69" s="94">
        <v>45396.385416666664</v>
      </c>
      <c r="P69" s="94">
        <v>45396.392361111109</v>
      </c>
      <c r="Q69" s="94">
        <v>45396.583333333336</v>
      </c>
      <c r="R69" s="114" t="s">
        <v>118</v>
      </c>
      <c r="S69" s="114" t="s">
        <v>118</v>
      </c>
      <c r="T69" s="114">
        <v>45396.666666666664</v>
      </c>
      <c r="U69" s="114">
        <v>45396.768055555556</v>
      </c>
      <c r="V69" s="95">
        <f t="shared" si="19"/>
        <v>0.19791666667151731</v>
      </c>
      <c r="W69" s="95">
        <v>0.20833333333333334</v>
      </c>
      <c r="X69" s="95" t="str">
        <f t="shared" si="20"/>
        <v>00:00</v>
      </c>
      <c r="Y69" s="96">
        <v>0</v>
      </c>
      <c r="Z69" s="96">
        <v>54</v>
      </c>
      <c r="AA69" s="96">
        <f t="shared" si="2"/>
        <v>54</v>
      </c>
      <c r="AB69" s="97">
        <f t="shared" si="3"/>
        <v>0</v>
      </c>
      <c r="AC69" s="97">
        <f t="shared" si="4"/>
        <v>3680.6300000000006</v>
      </c>
      <c r="AD69" s="98">
        <v>3680.63</v>
      </c>
      <c r="AE69" s="98">
        <v>3748.5</v>
      </c>
      <c r="AF69" s="98">
        <v>3750.4</v>
      </c>
      <c r="AG69" s="98">
        <f t="shared" si="5"/>
        <v>69.769999999999982</v>
      </c>
      <c r="AH69" s="99">
        <v>672.5</v>
      </c>
      <c r="AI69" s="100">
        <f t="shared" si="6"/>
        <v>2522144</v>
      </c>
      <c r="AJ69" s="100">
        <f>(0*AH69)*2</f>
        <v>0</v>
      </c>
      <c r="AK69" s="100">
        <v>0</v>
      </c>
      <c r="AL69" s="100">
        <v>0</v>
      </c>
      <c r="AM69" s="100">
        <v>0</v>
      </c>
      <c r="AN69" s="100">
        <v>0</v>
      </c>
      <c r="AO69" s="100">
        <v>0</v>
      </c>
      <c r="AP69" s="100">
        <f t="shared" si="28"/>
        <v>126108</v>
      </c>
      <c r="AQ69" s="101">
        <f t="shared" si="18"/>
        <v>2648252</v>
      </c>
      <c r="AR69" s="101">
        <v>0</v>
      </c>
      <c r="AS69" s="101">
        <v>0</v>
      </c>
      <c r="AT69" s="102" t="s">
        <v>33</v>
      </c>
      <c r="AU69" s="109" t="s">
        <v>118</v>
      </c>
      <c r="AV69" s="100">
        <v>0</v>
      </c>
      <c r="AW69" s="105"/>
      <c r="AX69" s="106">
        <f t="shared" si="26"/>
        <v>1.8603348976109209</v>
      </c>
      <c r="AY69" s="101">
        <f t="shared" si="11"/>
        <v>46921</v>
      </c>
      <c r="AZ69" s="107"/>
      <c r="BA69" s="94">
        <v>45396.385416666664</v>
      </c>
      <c r="BB69" s="94">
        <v>45396.392361111109</v>
      </c>
      <c r="BC69" s="94">
        <v>45396.395833333336</v>
      </c>
      <c r="BD69" s="94">
        <v>45396.550694444442</v>
      </c>
      <c r="BE69" s="95">
        <f t="shared" si="21"/>
        <v>0.16527777777810115</v>
      </c>
      <c r="BF69" s="95">
        <v>0</v>
      </c>
      <c r="BG69" s="95">
        <v>4.791666666666667E-2</v>
      </c>
      <c r="BH69" s="95">
        <f t="shared" si="22"/>
        <v>6.9444444452528842E-3</v>
      </c>
      <c r="BI69" s="95">
        <f t="shared" si="22"/>
        <v>3.4722222262644209E-3</v>
      </c>
      <c r="BJ69" s="95">
        <f t="shared" si="22"/>
        <v>0.15486111110658385</v>
      </c>
      <c r="BK69" s="95">
        <f t="shared" si="23"/>
        <v>0.15833333333284827</v>
      </c>
      <c r="BL69" s="95">
        <f t="shared" si="24"/>
        <v>0.11041666666618161</v>
      </c>
      <c r="BM69" s="95" t="str">
        <f t="shared" si="25"/>
        <v>00:00</v>
      </c>
      <c r="BN69" s="110"/>
    </row>
    <row r="70" spans="1:66" s="8" customFormat="1" ht="12.75" customHeight="1" x14ac:dyDescent="0.25">
      <c r="A70" s="90">
        <v>39</v>
      </c>
      <c r="B70" s="90">
        <v>39</v>
      </c>
      <c r="C70" s="90">
        <v>10</v>
      </c>
      <c r="D70" s="90" t="s">
        <v>113</v>
      </c>
      <c r="E70" s="91" t="s">
        <v>123</v>
      </c>
      <c r="F70" s="90" t="s">
        <v>29</v>
      </c>
      <c r="G70" s="90" t="s">
        <v>8</v>
      </c>
      <c r="H70" s="90" t="s">
        <v>124</v>
      </c>
      <c r="I70" s="92" t="s">
        <v>179</v>
      </c>
      <c r="J70" s="93"/>
      <c r="K70" s="92" t="s">
        <v>122</v>
      </c>
      <c r="L70" s="92">
        <v>261005698</v>
      </c>
      <c r="M70" s="93">
        <v>45396</v>
      </c>
      <c r="N70" s="94">
        <v>45396.583333333336</v>
      </c>
      <c r="O70" s="94">
        <v>45396.583333333336</v>
      </c>
      <c r="P70" s="94">
        <v>45396.590277777781</v>
      </c>
      <c r="Q70" s="94">
        <v>45396.791666666664</v>
      </c>
      <c r="R70" s="114" t="s">
        <v>118</v>
      </c>
      <c r="S70" s="114" t="s">
        <v>118</v>
      </c>
      <c r="T70" s="114">
        <v>45396.840277777781</v>
      </c>
      <c r="U70" s="114">
        <v>45396.93472222222</v>
      </c>
      <c r="V70" s="95">
        <f t="shared" si="19"/>
        <v>0.20833333332848269</v>
      </c>
      <c r="W70" s="95">
        <v>0.20833333333333334</v>
      </c>
      <c r="X70" s="95" t="str">
        <f t="shared" si="20"/>
        <v>00:00</v>
      </c>
      <c r="Y70" s="96">
        <v>1</v>
      </c>
      <c r="Z70" s="96">
        <v>57</v>
      </c>
      <c r="AA70" s="96">
        <f t="shared" si="2"/>
        <v>58</v>
      </c>
      <c r="AB70" s="97">
        <f t="shared" si="3"/>
        <v>67.197413793103451</v>
      </c>
      <c r="AC70" s="97">
        <f t="shared" si="4"/>
        <v>3830.2525862068965</v>
      </c>
      <c r="AD70" s="98">
        <v>3897.45</v>
      </c>
      <c r="AE70" s="98">
        <v>4026.4</v>
      </c>
      <c r="AF70" s="98">
        <v>4029.8</v>
      </c>
      <c r="AG70" s="98">
        <f t="shared" si="5"/>
        <v>132.35000000000036</v>
      </c>
      <c r="AH70" s="99">
        <v>797.2</v>
      </c>
      <c r="AI70" s="100">
        <f t="shared" si="6"/>
        <v>3212556.5600000005</v>
      </c>
      <c r="AJ70" s="100">
        <f>(0.4*AH70)*2</f>
        <v>637.7600000000001</v>
      </c>
      <c r="AK70" s="100">
        <v>0</v>
      </c>
      <c r="AL70" s="100">
        <v>0</v>
      </c>
      <c r="AM70" s="100">
        <v>0</v>
      </c>
      <c r="AN70" s="100">
        <v>0</v>
      </c>
      <c r="AO70" s="100">
        <v>0</v>
      </c>
      <c r="AP70" s="100">
        <f t="shared" si="28"/>
        <v>160660</v>
      </c>
      <c r="AQ70" s="101">
        <f t="shared" si="18"/>
        <v>3373855</v>
      </c>
      <c r="AR70" s="101">
        <v>0</v>
      </c>
      <c r="AS70" s="101">
        <v>0</v>
      </c>
      <c r="AT70" s="102" t="s">
        <v>33</v>
      </c>
      <c r="AU70" s="109" t="s">
        <v>118</v>
      </c>
      <c r="AV70" s="100">
        <v>0</v>
      </c>
      <c r="AW70" s="105"/>
      <c r="AX70" s="106">
        <f t="shared" si="26"/>
        <v>3.2842820983671737</v>
      </c>
      <c r="AY70" s="101">
        <f t="shared" si="11"/>
        <v>105510</v>
      </c>
      <c r="AZ70" s="107"/>
      <c r="BA70" s="94">
        <v>45396.583333333336</v>
      </c>
      <c r="BB70" s="94">
        <v>45396.590277777781</v>
      </c>
      <c r="BC70" s="94">
        <v>45396.59375</v>
      </c>
      <c r="BD70" s="94">
        <v>45396.755555555559</v>
      </c>
      <c r="BE70" s="95">
        <f t="shared" si="21"/>
        <v>0.17222222222335404</v>
      </c>
      <c r="BF70" s="95">
        <v>6.9444444444444441E-3</v>
      </c>
      <c r="BG70" s="95">
        <v>3.0555555555555555E-2</v>
      </c>
      <c r="BH70" s="95">
        <f t="shared" si="22"/>
        <v>6.9444444452528842E-3</v>
      </c>
      <c r="BI70" s="95">
        <f t="shared" si="22"/>
        <v>3.4722222189884633E-3</v>
      </c>
      <c r="BJ70" s="95">
        <f t="shared" si="22"/>
        <v>0.16180555555911269</v>
      </c>
      <c r="BK70" s="95">
        <f t="shared" si="23"/>
        <v>0.16527777777810115</v>
      </c>
      <c r="BL70" s="95">
        <f t="shared" si="24"/>
        <v>0.12777777777810115</v>
      </c>
      <c r="BM70" s="95" t="str">
        <f t="shared" si="25"/>
        <v>00:00</v>
      </c>
      <c r="BN70" s="110"/>
    </row>
    <row r="71" spans="1:66" s="8" customFormat="1" ht="12.75" customHeight="1" x14ac:dyDescent="0.25">
      <c r="A71" s="90">
        <v>40</v>
      </c>
      <c r="B71" s="90">
        <v>40</v>
      </c>
      <c r="C71" s="90">
        <v>5</v>
      </c>
      <c r="D71" s="90" t="s">
        <v>113</v>
      </c>
      <c r="E71" s="91" t="s">
        <v>156</v>
      </c>
      <c r="F71" s="90" t="s">
        <v>37</v>
      </c>
      <c r="G71" s="90" t="s">
        <v>8</v>
      </c>
      <c r="H71" s="90" t="s">
        <v>153</v>
      </c>
      <c r="I71" s="92" t="s">
        <v>180</v>
      </c>
      <c r="J71" s="93">
        <v>45396</v>
      </c>
      <c r="K71" s="92" t="s">
        <v>117</v>
      </c>
      <c r="L71" s="92">
        <v>482000339</v>
      </c>
      <c r="M71" s="93">
        <v>45397</v>
      </c>
      <c r="N71" s="94">
        <v>45396.854166666664</v>
      </c>
      <c r="O71" s="94">
        <v>45396.854166666664</v>
      </c>
      <c r="P71" s="94">
        <v>45396.868055555555</v>
      </c>
      <c r="Q71" s="94">
        <v>45396.989583333336</v>
      </c>
      <c r="R71" s="114" t="s">
        <v>118</v>
      </c>
      <c r="S71" s="114" t="s">
        <v>118</v>
      </c>
      <c r="T71" s="114">
        <v>45397.083333333336</v>
      </c>
      <c r="U71" s="114">
        <v>45397.25</v>
      </c>
      <c r="V71" s="95">
        <f t="shared" si="19"/>
        <v>0.13541666667151731</v>
      </c>
      <c r="W71" s="95">
        <v>0.20833333333333334</v>
      </c>
      <c r="X71" s="95" t="str">
        <f t="shared" si="20"/>
        <v>00:00</v>
      </c>
      <c r="Y71" s="96">
        <v>0</v>
      </c>
      <c r="Z71" s="96">
        <v>59</v>
      </c>
      <c r="AA71" s="96">
        <f t="shared" si="2"/>
        <v>59</v>
      </c>
      <c r="AB71" s="97">
        <f t="shared" si="3"/>
        <v>0</v>
      </c>
      <c r="AC71" s="97">
        <f t="shared" si="4"/>
        <v>4003.46</v>
      </c>
      <c r="AD71" s="98">
        <v>4003.46</v>
      </c>
      <c r="AE71" s="98">
        <v>4106.3999999999996</v>
      </c>
      <c r="AF71" s="98">
        <v>4114</v>
      </c>
      <c r="AG71" s="98">
        <f t="shared" si="5"/>
        <v>110.53999999999996</v>
      </c>
      <c r="AH71" s="99">
        <v>1484</v>
      </c>
      <c r="AI71" s="100">
        <f t="shared" si="6"/>
        <v>6105176</v>
      </c>
      <c r="AJ71" s="100">
        <f>(0*AH71)*2</f>
        <v>0</v>
      </c>
      <c r="AK71" s="100">
        <v>0</v>
      </c>
      <c r="AL71" s="100">
        <v>24290</v>
      </c>
      <c r="AM71" s="100">
        <v>0</v>
      </c>
      <c r="AN71" s="100">
        <v>0</v>
      </c>
      <c r="AO71" s="100">
        <v>0</v>
      </c>
      <c r="AP71" s="100">
        <f t="shared" si="28"/>
        <v>306474</v>
      </c>
      <c r="AQ71" s="101">
        <f t="shared" si="18"/>
        <v>6435940</v>
      </c>
      <c r="AR71" s="101">
        <v>0</v>
      </c>
      <c r="AS71" s="101">
        <v>0</v>
      </c>
      <c r="AT71" s="102" t="s">
        <v>33</v>
      </c>
      <c r="AU71" s="109">
        <v>3</v>
      </c>
      <c r="AV71" s="100">
        <v>2</v>
      </c>
      <c r="AW71" s="105"/>
      <c r="AX71" s="106">
        <f t="shared" si="26"/>
        <v>2.6869227029654832</v>
      </c>
      <c r="AY71" s="101">
        <f t="shared" si="11"/>
        <v>164042</v>
      </c>
      <c r="AZ71" s="107"/>
      <c r="BA71" s="94">
        <v>45396.854166666664</v>
      </c>
      <c r="BB71" s="94">
        <v>45396.868055555555</v>
      </c>
      <c r="BC71" s="94">
        <v>45396.868055555555</v>
      </c>
      <c r="BD71" s="94">
        <v>45397.059027777781</v>
      </c>
      <c r="BE71" s="95">
        <f t="shared" si="21"/>
        <v>0.20486111111677019</v>
      </c>
      <c r="BF71" s="95">
        <v>2.0833333333333333E-3</v>
      </c>
      <c r="BG71" s="95">
        <v>6.7361111111111108E-2</v>
      </c>
      <c r="BH71" s="95">
        <f t="shared" si="22"/>
        <v>1.3888888890505768E-2</v>
      </c>
      <c r="BI71" s="95">
        <f t="shared" si="22"/>
        <v>0</v>
      </c>
      <c r="BJ71" s="95">
        <f t="shared" si="22"/>
        <v>0.19097222222626442</v>
      </c>
      <c r="BK71" s="95">
        <f t="shared" si="23"/>
        <v>0.19097222222626442</v>
      </c>
      <c r="BL71" s="95">
        <f t="shared" si="24"/>
        <v>0.12152777778181999</v>
      </c>
      <c r="BM71" s="95" t="str">
        <f t="shared" si="25"/>
        <v>00:00</v>
      </c>
      <c r="BN71" s="110"/>
    </row>
    <row r="72" spans="1:66" s="8" customFormat="1" ht="12.75" customHeight="1" x14ac:dyDescent="0.25">
      <c r="A72" s="90">
        <v>41</v>
      </c>
      <c r="B72" s="90">
        <v>41</v>
      </c>
      <c r="C72" s="90">
        <v>11</v>
      </c>
      <c r="D72" s="90" t="s">
        <v>148</v>
      </c>
      <c r="E72" s="91" t="s">
        <v>149</v>
      </c>
      <c r="F72" s="90" t="s">
        <v>16</v>
      </c>
      <c r="G72" s="90" t="s">
        <v>17</v>
      </c>
      <c r="H72" s="90" t="s">
        <v>150</v>
      </c>
      <c r="I72" s="92" t="s">
        <v>181</v>
      </c>
      <c r="J72" s="93">
        <v>45395</v>
      </c>
      <c r="K72" s="92" t="s">
        <v>122</v>
      </c>
      <c r="L72" s="92">
        <v>461000184</v>
      </c>
      <c r="M72" s="93">
        <v>45397</v>
      </c>
      <c r="N72" s="94">
        <v>45397.0625</v>
      </c>
      <c r="O72" s="94">
        <v>45397.0625</v>
      </c>
      <c r="P72" s="94">
        <v>45397.069444444445</v>
      </c>
      <c r="Q72" s="94">
        <v>45397.260416666664</v>
      </c>
      <c r="R72" s="114" t="s">
        <v>118</v>
      </c>
      <c r="S72" s="114" t="s">
        <v>118</v>
      </c>
      <c r="T72" s="114">
        <v>45397.302083333336</v>
      </c>
      <c r="U72" s="114">
        <v>45397.414583333331</v>
      </c>
      <c r="V72" s="95">
        <f t="shared" si="19"/>
        <v>0.19791666666424135</v>
      </c>
      <c r="W72" s="95">
        <v>0.20833333333333334</v>
      </c>
      <c r="X72" s="95" t="str">
        <f t="shared" si="20"/>
        <v>00:00</v>
      </c>
      <c r="Y72" s="96">
        <v>0</v>
      </c>
      <c r="Z72" s="96">
        <v>59</v>
      </c>
      <c r="AA72" s="96">
        <f t="shared" si="2"/>
        <v>59</v>
      </c>
      <c r="AB72" s="97">
        <f t="shared" si="3"/>
        <v>0</v>
      </c>
      <c r="AC72" s="97">
        <f t="shared" si="4"/>
        <v>3997.6899999999996</v>
      </c>
      <c r="AD72" s="98">
        <v>3997.69</v>
      </c>
      <c r="AE72" s="98">
        <v>4087.8</v>
      </c>
      <c r="AF72" s="98">
        <v>4091.4</v>
      </c>
      <c r="AG72" s="98">
        <f t="shared" si="5"/>
        <v>93.710000000000036</v>
      </c>
      <c r="AH72" s="99">
        <v>672.5</v>
      </c>
      <c r="AI72" s="100">
        <f t="shared" si="6"/>
        <v>2751466.5</v>
      </c>
      <c r="AJ72" s="100">
        <f>(0.4*AH72)*2</f>
        <v>538</v>
      </c>
      <c r="AK72" s="100">
        <v>0</v>
      </c>
      <c r="AL72" s="100">
        <v>0</v>
      </c>
      <c r="AM72" s="100">
        <v>0</v>
      </c>
      <c r="AN72" s="100">
        <v>0</v>
      </c>
      <c r="AO72" s="100">
        <v>0</v>
      </c>
      <c r="AP72" s="100">
        <f t="shared" si="28"/>
        <v>137601</v>
      </c>
      <c r="AQ72" s="101">
        <f t="shared" si="18"/>
        <v>2889606</v>
      </c>
      <c r="AR72" s="101">
        <v>0</v>
      </c>
      <c r="AS72" s="101">
        <v>0</v>
      </c>
      <c r="AT72" s="102" t="s">
        <v>33</v>
      </c>
      <c r="AU72" s="109" t="s">
        <v>118</v>
      </c>
      <c r="AV72" s="100">
        <v>0</v>
      </c>
      <c r="AW72" s="105"/>
      <c r="AX72" s="106">
        <f t="shared" si="26"/>
        <v>2.2904140392041854</v>
      </c>
      <c r="AY72" s="101">
        <f t="shared" si="11"/>
        <v>63020</v>
      </c>
      <c r="AZ72" s="107"/>
      <c r="BA72" s="94">
        <v>45397.0625</v>
      </c>
      <c r="BB72" s="94">
        <v>45397.069444444445</v>
      </c>
      <c r="BC72" s="94">
        <v>45397.083333333336</v>
      </c>
      <c r="BD72" s="94">
        <v>45397.208333333336</v>
      </c>
      <c r="BE72" s="95">
        <f t="shared" si="21"/>
        <v>0.14583333333575865</v>
      </c>
      <c r="BF72" s="95">
        <v>2.2222222222222223E-2</v>
      </c>
      <c r="BG72" s="95">
        <v>0</v>
      </c>
      <c r="BH72" s="95">
        <f t="shared" si="22"/>
        <v>6.9444444452528842E-3</v>
      </c>
      <c r="BI72" s="95">
        <f t="shared" si="22"/>
        <v>1.3888888890505768E-2</v>
      </c>
      <c r="BJ72" s="95">
        <f t="shared" si="22"/>
        <v>0.125</v>
      </c>
      <c r="BK72" s="95">
        <f t="shared" si="23"/>
        <v>0.13888888889050577</v>
      </c>
      <c r="BL72" s="95">
        <f t="shared" si="24"/>
        <v>0.11666666666828354</v>
      </c>
      <c r="BM72" s="95" t="str">
        <f t="shared" si="25"/>
        <v>00:00</v>
      </c>
      <c r="BN72" s="110"/>
    </row>
    <row r="73" spans="1:66" s="8" customFormat="1" ht="12.75" customHeight="1" x14ac:dyDescent="0.25">
      <c r="A73" s="90">
        <v>42</v>
      </c>
      <c r="B73" s="90">
        <v>42</v>
      </c>
      <c r="C73" s="90">
        <v>9</v>
      </c>
      <c r="D73" s="90" t="s">
        <v>113</v>
      </c>
      <c r="E73" s="91" t="s">
        <v>126</v>
      </c>
      <c r="F73" s="90" t="s">
        <v>32</v>
      </c>
      <c r="G73" s="90" t="s">
        <v>15</v>
      </c>
      <c r="H73" s="90" t="s">
        <v>182</v>
      </c>
      <c r="I73" s="92" t="s">
        <v>183</v>
      </c>
      <c r="J73" s="93">
        <v>45396</v>
      </c>
      <c r="K73" s="92" t="s">
        <v>117</v>
      </c>
      <c r="L73" s="92">
        <v>261005699</v>
      </c>
      <c r="M73" s="93">
        <v>45397</v>
      </c>
      <c r="N73" s="94">
        <v>45397.3125</v>
      </c>
      <c r="O73" s="94">
        <v>45397.3125</v>
      </c>
      <c r="P73" s="94">
        <v>45397.319444444445</v>
      </c>
      <c r="Q73" s="94">
        <v>45397.486111111109</v>
      </c>
      <c r="R73" s="114" t="s">
        <v>118</v>
      </c>
      <c r="S73" s="114" t="s">
        <v>118</v>
      </c>
      <c r="T73" s="114">
        <v>45397.520833333336</v>
      </c>
      <c r="U73" s="114">
        <v>45396.606944444444</v>
      </c>
      <c r="V73" s="95">
        <f t="shared" si="19"/>
        <v>0.17361111110949423</v>
      </c>
      <c r="W73" s="95">
        <v>0.20833333333333334</v>
      </c>
      <c r="X73" s="95" t="str">
        <f t="shared" si="20"/>
        <v>00:00</v>
      </c>
      <c r="Y73" s="96">
        <v>0</v>
      </c>
      <c r="Z73" s="96">
        <v>58</v>
      </c>
      <c r="AA73" s="96">
        <f t="shared" si="2"/>
        <v>58</v>
      </c>
      <c r="AB73" s="97">
        <f t="shared" si="3"/>
        <v>0</v>
      </c>
      <c r="AC73" s="97">
        <f t="shared" si="4"/>
        <v>3719.3300000000004</v>
      </c>
      <c r="AD73" s="98">
        <v>3719.33</v>
      </c>
      <c r="AE73" s="98">
        <v>4027</v>
      </c>
      <c r="AF73" s="98">
        <v>4027</v>
      </c>
      <c r="AG73" s="98">
        <f t="shared" si="5"/>
        <v>307.67000000000007</v>
      </c>
      <c r="AH73" s="99">
        <v>1484</v>
      </c>
      <c r="AI73" s="100">
        <f t="shared" si="6"/>
        <v>5976068</v>
      </c>
      <c r="AJ73" s="100">
        <f>(0*AH73)*2</f>
        <v>0</v>
      </c>
      <c r="AK73" s="100">
        <v>0</v>
      </c>
      <c r="AL73" s="100">
        <v>0</v>
      </c>
      <c r="AM73" s="100">
        <v>0</v>
      </c>
      <c r="AN73" s="100">
        <v>0</v>
      </c>
      <c r="AO73" s="100">
        <v>0</v>
      </c>
      <c r="AP73" s="100">
        <f t="shared" si="28"/>
        <v>298804</v>
      </c>
      <c r="AQ73" s="101">
        <f t="shared" si="18"/>
        <v>6274872</v>
      </c>
      <c r="AR73" s="101">
        <v>0</v>
      </c>
      <c r="AS73" s="101">
        <v>0</v>
      </c>
      <c r="AT73" s="102" t="s">
        <v>33</v>
      </c>
      <c r="AU73" s="109" t="s">
        <v>118</v>
      </c>
      <c r="AV73" s="100">
        <v>0</v>
      </c>
      <c r="AW73" s="105"/>
      <c r="AX73" s="106">
        <f t="shared" si="26"/>
        <v>7.6401787931462639</v>
      </c>
      <c r="AY73" s="101">
        <f t="shared" si="11"/>
        <v>456583</v>
      </c>
      <c r="AZ73" s="107"/>
      <c r="BA73" s="94">
        <v>45397.3125</v>
      </c>
      <c r="BB73" s="94">
        <v>45397.319444444445</v>
      </c>
      <c r="BC73" s="94">
        <v>45397.319444444445</v>
      </c>
      <c r="BD73" s="94">
        <v>45397.443055555559</v>
      </c>
      <c r="BE73" s="95">
        <f t="shared" si="21"/>
        <v>0.13055555555911269</v>
      </c>
      <c r="BF73" s="95">
        <v>0</v>
      </c>
      <c r="BG73" s="95">
        <v>0</v>
      </c>
      <c r="BH73" s="95">
        <f t="shared" si="22"/>
        <v>6.9444444452528842E-3</v>
      </c>
      <c r="BI73" s="95">
        <f t="shared" si="22"/>
        <v>0</v>
      </c>
      <c r="BJ73" s="95">
        <f t="shared" si="22"/>
        <v>0.12361111111385981</v>
      </c>
      <c r="BK73" s="95">
        <f t="shared" si="23"/>
        <v>0.12361111111385981</v>
      </c>
      <c r="BL73" s="95">
        <f t="shared" si="24"/>
        <v>0.12361111111385981</v>
      </c>
      <c r="BM73" s="95" t="str">
        <f t="shared" si="25"/>
        <v>00:00</v>
      </c>
      <c r="BN73" s="110"/>
    </row>
    <row r="74" spans="1:66" s="8" customFormat="1" ht="12.75" customHeight="1" x14ac:dyDescent="0.25">
      <c r="A74" s="90">
        <v>43</v>
      </c>
      <c r="B74" s="90">
        <v>43</v>
      </c>
      <c r="C74" s="90">
        <v>12</v>
      </c>
      <c r="D74" s="90" t="s">
        <v>148</v>
      </c>
      <c r="E74" s="91" t="s">
        <v>149</v>
      </c>
      <c r="F74" s="90" t="s">
        <v>16</v>
      </c>
      <c r="G74" s="90" t="s">
        <v>17</v>
      </c>
      <c r="H74" s="90" t="s">
        <v>150</v>
      </c>
      <c r="I74" s="92" t="s">
        <v>184</v>
      </c>
      <c r="J74" s="93">
        <v>45396</v>
      </c>
      <c r="K74" s="92" t="s">
        <v>122</v>
      </c>
      <c r="L74" s="92">
        <v>461000185</v>
      </c>
      <c r="M74" s="93">
        <v>45397</v>
      </c>
      <c r="N74" s="94">
        <v>45397.458333333336</v>
      </c>
      <c r="O74" s="94">
        <v>45397.458333333336</v>
      </c>
      <c r="P74" s="94">
        <v>45397.465277777781</v>
      </c>
      <c r="Q74" s="94">
        <v>45397.65625</v>
      </c>
      <c r="R74" s="114" t="s">
        <v>118</v>
      </c>
      <c r="S74" s="114" t="s">
        <v>118</v>
      </c>
      <c r="T74" s="114">
        <v>45397.729166666664</v>
      </c>
      <c r="U74" s="114">
        <v>45397.827777777777</v>
      </c>
      <c r="V74" s="95">
        <f t="shared" si="19"/>
        <v>0.19791666666424135</v>
      </c>
      <c r="W74" s="95">
        <v>0.20833333333333334</v>
      </c>
      <c r="X74" s="95" t="str">
        <f t="shared" si="20"/>
        <v>00:00</v>
      </c>
      <c r="Y74" s="96">
        <v>0</v>
      </c>
      <c r="Z74" s="96">
        <v>58</v>
      </c>
      <c r="AA74" s="96">
        <f t="shared" si="2"/>
        <v>58</v>
      </c>
      <c r="AB74" s="97">
        <f t="shared" si="3"/>
        <v>0</v>
      </c>
      <c r="AC74" s="97">
        <f t="shared" si="4"/>
        <v>3957.5400000000004</v>
      </c>
      <c r="AD74" s="98">
        <v>3957.54</v>
      </c>
      <c r="AE74" s="98">
        <v>4041.2</v>
      </c>
      <c r="AF74" s="98">
        <v>4042.8</v>
      </c>
      <c r="AG74" s="98">
        <f t="shared" si="5"/>
        <v>85.260000000000218</v>
      </c>
      <c r="AH74" s="99">
        <v>672.5</v>
      </c>
      <c r="AI74" s="100">
        <f t="shared" si="6"/>
        <v>2718783</v>
      </c>
      <c r="AJ74" s="100">
        <f>(0*AH74)*2</f>
        <v>0</v>
      </c>
      <c r="AK74" s="100">
        <v>0</v>
      </c>
      <c r="AL74" s="100">
        <v>0</v>
      </c>
      <c r="AM74" s="100">
        <v>0</v>
      </c>
      <c r="AN74" s="100">
        <v>0</v>
      </c>
      <c r="AO74" s="100">
        <v>0</v>
      </c>
      <c r="AP74" s="100">
        <f t="shared" si="28"/>
        <v>135940</v>
      </c>
      <c r="AQ74" s="101">
        <f t="shared" si="18"/>
        <v>2854723</v>
      </c>
      <c r="AR74" s="101">
        <v>0</v>
      </c>
      <c r="AS74" s="101">
        <v>0</v>
      </c>
      <c r="AT74" s="102" t="s">
        <v>33</v>
      </c>
      <c r="AU74" s="109" t="s">
        <v>118</v>
      </c>
      <c r="AV74" s="100">
        <v>0</v>
      </c>
      <c r="AW74" s="105"/>
      <c r="AX74" s="106">
        <f t="shared" si="26"/>
        <v>2.108934401899679</v>
      </c>
      <c r="AY74" s="101">
        <f t="shared" si="11"/>
        <v>57338</v>
      </c>
      <c r="AZ74" s="107"/>
      <c r="BA74" s="94">
        <v>45397.458333333336</v>
      </c>
      <c r="BB74" s="94">
        <v>45397.465277777781</v>
      </c>
      <c r="BC74" s="94">
        <v>45397.477083333331</v>
      </c>
      <c r="BD74" s="94">
        <v>45397.627083333333</v>
      </c>
      <c r="BE74" s="95">
        <f t="shared" si="21"/>
        <v>0.16874999999708962</v>
      </c>
      <c r="BF74" s="95">
        <v>3.4027777777777775E-2</v>
      </c>
      <c r="BG74" s="95">
        <v>0</v>
      </c>
      <c r="BH74" s="95">
        <f t="shared" si="22"/>
        <v>6.9444444452528842E-3</v>
      </c>
      <c r="BI74" s="95">
        <f t="shared" si="22"/>
        <v>1.1805555550381541E-2</v>
      </c>
      <c r="BJ74" s="95">
        <f t="shared" si="22"/>
        <v>0.15000000000145519</v>
      </c>
      <c r="BK74" s="95">
        <f t="shared" si="23"/>
        <v>0.16180555555183673</v>
      </c>
      <c r="BL74" s="95">
        <f t="shared" si="24"/>
        <v>0.12777777777405896</v>
      </c>
      <c r="BM74" s="95" t="str">
        <f t="shared" si="25"/>
        <v>00:00</v>
      </c>
      <c r="BN74" s="110"/>
    </row>
    <row r="75" spans="1:66" s="8" customFormat="1" ht="12.75" customHeight="1" x14ac:dyDescent="0.25">
      <c r="A75" s="90">
        <v>44</v>
      </c>
      <c r="B75" s="90">
        <v>44</v>
      </c>
      <c r="C75" s="90">
        <v>6</v>
      </c>
      <c r="D75" s="90" t="s">
        <v>113</v>
      </c>
      <c r="E75" s="91" t="s">
        <v>156</v>
      </c>
      <c r="F75" s="90" t="s">
        <v>37</v>
      </c>
      <c r="G75" s="90" t="s">
        <v>8</v>
      </c>
      <c r="H75" s="90" t="s">
        <v>153</v>
      </c>
      <c r="I75" s="92" t="s">
        <v>185</v>
      </c>
      <c r="J75" s="93">
        <v>45397</v>
      </c>
      <c r="K75" s="92" t="s">
        <v>117</v>
      </c>
      <c r="L75" s="92">
        <v>482000340</v>
      </c>
      <c r="M75" s="93">
        <v>45398</v>
      </c>
      <c r="N75" s="94">
        <v>45397.75</v>
      </c>
      <c r="O75" s="94">
        <v>45397.75</v>
      </c>
      <c r="P75" s="94">
        <v>45397.753472222219</v>
      </c>
      <c r="Q75" s="94">
        <v>45397.958333333336</v>
      </c>
      <c r="R75" s="114" t="s">
        <v>118</v>
      </c>
      <c r="S75" s="114">
        <v>45398.027777777781</v>
      </c>
      <c r="T75" s="114">
        <v>45398.0625</v>
      </c>
      <c r="U75" s="114">
        <v>45398.172222222223</v>
      </c>
      <c r="V75" s="95">
        <f t="shared" si="19"/>
        <v>0.20833333333575865</v>
      </c>
      <c r="W75" s="95">
        <v>0.20833333333333334</v>
      </c>
      <c r="X75" s="95">
        <f t="shared" si="20"/>
        <v>2.4253099528692701E-12</v>
      </c>
      <c r="Y75" s="96">
        <v>0</v>
      </c>
      <c r="Z75" s="96">
        <v>58</v>
      </c>
      <c r="AA75" s="96">
        <f t="shared" si="2"/>
        <v>58</v>
      </c>
      <c r="AB75" s="97">
        <f t="shared" si="3"/>
        <v>0</v>
      </c>
      <c r="AC75" s="97">
        <f t="shared" si="4"/>
        <v>3882.1800000000003</v>
      </c>
      <c r="AD75" s="98">
        <v>3882.18</v>
      </c>
      <c r="AE75" s="98">
        <v>4029</v>
      </c>
      <c r="AF75" s="98">
        <v>4032.2</v>
      </c>
      <c r="AG75" s="98">
        <f t="shared" si="5"/>
        <v>150.01999999999998</v>
      </c>
      <c r="AH75" s="99">
        <v>1484</v>
      </c>
      <c r="AI75" s="100">
        <f t="shared" si="6"/>
        <v>5983784.7999999998</v>
      </c>
      <c r="AJ75" s="100">
        <f>(0.4*AH75)*2</f>
        <v>1187.2</v>
      </c>
      <c r="AK75" s="100">
        <v>0</v>
      </c>
      <c r="AL75" s="100">
        <v>0</v>
      </c>
      <c r="AM75" s="100">
        <v>0</v>
      </c>
      <c r="AN75" s="100">
        <v>0</v>
      </c>
      <c r="AO75" s="100">
        <v>0</v>
      </c>
      <c r="AP75" s="100">
        <f t="shared" si="28"/>
        <v>299249</v>
      </c>
      <c r="AQ75" s="101">
        <f t="shared" si="18"/>
        <v>6284221</v>
      </c>
      <c r="AR75" s="101">
        <v>0</v>
      </c>
      <c r="AS75" s="101">
        <v>0</v>
      </c>
      <c r="AT75" s="102" t="s">
        <v>33</v>
      </c>
      <c r="AU75" s="109" t="s">
        <v>118</v>
      </c>
      <c r="AV75" s="100">
        <v>0</v>
      </c>
      <c r="AW75" s="105"/>
      <c r="AX75" s="106">
        <f t="shared" si="26"/>
        <v>3.7205495759138931</v>
      </c>
      <c r="AY75" s="101">
        <f t="shared" si="11"/>
        <v>222630</v>
      </c>
      <c r="AZ75" s="107"/>
      <c r="BA75" s="94">
        <v>45397.75</v>
      </c>
      <c r="BB75" s="94">
        <v>45397.753472222219</v>
      </c>
      <c r="BC75" s="94">
        <v>45397.753472222219</v>
      </c>
      <c r="BD75" s="94">
        <v>45398.020833333336</v>
      </c>
      <c r="BE75" s="95">
        <f t="shared" si="21"/>
        <v>0.27083333333575865</v>
      </c>
      <c r="BF75" s="95">
        <v>7.4999999999999997E-2</v>
      </c>
      <c r="BG75" s="95">
        <v>6.5277777777777782E-2</v>
      </c>
      <c r="BH75" s="95">
        <f t="shared" si="22"/>
        <v>3.4722222189884633E-3</v>
      </c>
      <c r="BI75" s="95">
        <f t="shared" si="22"/>
        <v>0</v>
      </c>
      <c r="BJ75" s="95">
        <f t="shared" si="22"/>
        <v>0.26736111111677019</v>
      </c>
      <c r="BK75" s="95">
        <f t="shared" si="23"/>
        <v>0.26736111111677019</v>
      </c>
      <c r="BL75" s="95">
        <f t="shared" si="24"/>
        <v>0.12708333333899241</v>
      </c>
      <c r="BM75" s="95">
        <f t="shared" si="25"/>
        <v>6.250000000242531E-2</v>
      </c>
      <c r="BN75" s="110"/>
    </row>
    <row r="76" spans="1:66" s="8" customFormat="1" ht="12.75" customHeight="1" x14ac:dyDescent="0.25">
      <c r="A76" s="90">
        <v>45</v>
      </c>
      <c r="B76" s="90">
        <v>45</v>
      </c>
      <c r="C76" s="90">
        <v>13</v>
      </c>
      <c r="D76" s="90" t="s">
        <v>148</v>
      </c>
      <c r="E76" s="91" t="s">
        <v>149</v>
      </c>
      <c r="F76" s="90" t="s">
        <v>16</v>
      </c>
      <c r="G76" s="90" t="s">
        <v>17</v>
      </c>
      <c r="H76" s="90" t="s">
        <v>150</v>
      </c>
      <c r="I76" s="92" t="s">
        <v>186</v>
      </c>
      <c r="J76" s="93">
        <v>45397</v>
      </c>
      <c r="K76" s="92" t="s">
        <v>122</v>
      </c>
      <c r="L76" s="92">
        <v>461000186</v>
      </c>
      <c r="M76" s="93">
        <v>45398</v>
      </c>
      <c r="N76" s="94">
        <v>45398.041666666664</v>
      </c>
      <c r="O76" s="94">
        <v>45398.041666666664</v>
      </c>
      <c r="P76" s="94">
        <v>45398.045138888891</v>
      </c>
      <c r="Q76" s="94">
        <v>45398.229166666664</v>
      </c>
      <c r="R76" s="114" t="s">
        <v>118</v>
      </c>
      <c r="S76" s="114" t="s">
        <v>118</v>
      </c>
      <c r="T76" s="114">
        <v>45398.3125</v>
      </c>
      <c r="U76" s="114">
        <v>45398.454861111109</v>
      </c>
      <c r="V76" s="95">
        <f t="shared" si="19"/>
        <v>0.1875</v>
      </c>
      <c r="W76" s="95">
        <v>0.20833333333333334</v>
      </c>
      <c r="X76" s="95" t="str">
        <f t="shared" si="20"/>
        <v>00:00</v>
      </c>
      <c r="Y76" s="96">
        <v>0</v>
      </c>
      <c r="Z76" s="96">
        <v>58</v>
      </c>
      <c r="AA76" s="96">
        <f t="shared" si="2"/>
        <v>58</v>
      </c>
      <c r="AB76" s="97">
        <f t="shared" si="3"/>
        <v>0</v>
      </c>
      <c r="AC76" s="97">
        <f t="shared" si="4"/>
        <v>4022.2700000000004</v>
      </c>
      <c r="AD76" s="98">
        <v>4022.27</v>
      </c>
      <c r="AE76" s="98">
        <v>4041.1</v>
      </c>
      <c r="AF76" s="98">
        <v>4059.4</v>
      </c>
      <c r="AG76" s="98">
        <f t="shared" si="5"/>
        <v>37.130000000000109</v>
      </c>
      <c r="AH76" s="99">
        <v>672.5</v>
      </c>
      <c r="AI76" s="100">
        <f t="shared" si="6"/>
        <v>2729946.5</v>
      </c>
      <c r="AJ76" s="100">
        <f>(0*AH76)*2</f>
        <v>0</v>
      </c>
      <c r="AK76" s="100">
        <v>0</v>
      </c>
      <c r="AL76" s="100">
        <v>24140</v>
      </c>
      <c r="AM76" s="100">
        <v>0</v>
      </c>
      <c r="AN76" s="100">
        <v>0</v>
      </c>
      <c r="AO76" s="100">
        <v>0</v>
      </c>
      <c r="AP76" s="100">
        <f t="shared" si="28"/>
        <v>137705</v>
      </c>
      <c r="AQ76" s="101">
        <f t="shared" si="18"/>
        <v>2891792</v>
      </c>
      <c r="AR76" s="101">
        <v>0</v>
      </c>
      <c r="AS76" s="101">
        <v>0</v>
      </c>
      <c r="AT76" s="102" t="s">
        <v>33</v>
      </c>
      <c r="AU76" s="109">
        <v>12</v>
      </c>
      <c r="AV76" s="100">
        <f>23.96-14.96</f>
        <v>9</v>
      </c>
      <c r="AW76" s="105"/>
      <c r="AX76" s="106">
        <f t="shared" si="26"/>
        <v>0.91466719219589365</v>
      </c>
      <c r="AY76" s="101">
        <f t="shared" si="11"/>
        <v>24970</v>
      </c>
      <c r="AZ76" s="107"/>
      <c r="BA76" s="94">
        <v>45398.041666666664</v>
      </c>
      <c r="BB76" s="94">
        <v>45398.045138888891</v>
      </c>
      <c r="BC76" s="94">
        <v>45398.050694444442</v>
      </c>
      <c r="BD76" s="94">
        <v>45398.189583333333</v>
      </c>
      <c r="BE76" s="95">
        <f t="shared" si="21"/>
        <v>0.14791666666860692</v>
      </c>
      <c r="BF76" s="95">
        <v>9.0277777777777769E-3</v>
      </c>
      <c r="BG76" s="95">
        <v>5.5555555555555558E-3</v>
      </c>
      <c r="BH76" s="95">
        <f t="shared" si="22"/>
        <v>3.4722222262644209E-3</v>
      </c>
      <c r="BI76" s="95">
        <f t="shared" si="22"/>
        <v>5.5555555518367328E-3</v>
      </c>
      <c r="BJ76" s="95">
        <f t="shared" si="22"/>
        <v>0.13888888889050577</v>
      </c>
      <c r="BK76" s="95">
        <f t="shared" si="23"/>
        <v>0.1444444444423425</v>
      </c>
      <c r="BL76" s="95">
        <f t="shared" si="24"/>
        <v>0.12986111110900916</v>
      </c>
      <c r="BM76" s="95" t="str">
        <f t="shared" si="25"/>
        <v>00:00</v>
      </c>
      <c r="BN76" s="110"/>
    </row>
    <row r="77" spans="1:66" s="8" customFormat="1" ht="12.75" customHeight="1" x14ac:dyDescent="0.25">
      <c r="A77" s="90">
        <v>46</v>
      </c>
      <c r="B77" s="90">
        <v>46</v>
      </c>
      <c r="C77" s="90">
        <v>7</v>
      </c>
      <c r="D77" s="90" t="s">
        <v>113</v>
      </c>
      <c r="E77" s="91" t="s">
        <v>156</v>
      </c>
      <c r="F77" s="90" t="s">
        <v>37</v>
      </c>
      <c r="G77" s="90" t="s">
        <v>8</v>
      </c>
      <c r="H77" s="90" t="s">
        <v>165</v>
      </c>
      <c r="I77" s="92" t="s">
        <v>187</v>
      </c>
      <c r="J77" s="93">
        <v>45395</v>
      </c>
      <c r="K77" s="92" t="s">
        <v>117</v>
      </c>
      <c r="L77" s="92">
        <v>481000031</v>
      </c>
      <c r="M77" s="93">
        <v>45398</v>
      </c>
      <c r="N77" s="94">
        <v>45398.208333333336</v>
      </c>
      <c r="O77" s="94">
        <v>45398.208333333336</v>
      </c>
      <c r="P77" s="94">
        <v>45398.211805555555</v>
      </c>
      <c r="Q77" s="94">
        <v>45398.416666666664</v>
      </c>
      <c r="R77" s="114" t="s">
        <v>118</v>
      </c>
      <c r="S77" s="114" t="s">
        <v>118</v>
      </c>
      <c r="T77" s="114">
        <v>45398.645833333336</v>
      </c>
      <c r="U77" s="114">
        <v>45398.78125</v>
      </c>
      <c r="V77" s="95">
        <f t="shared" si="19"/>
        <v>0.20833333332848269</v>
      </c>
      <c r="W77" s="95">
        <v>0.20833333333333334</v>
      </c>
      <c r="X77" s="95" t="str">
        <f t="shared" si="20"/>
        <v>00:00</v>
      </c>
      <c r="Y77" s="96">
        <v>0</v>
      </c>
      <c r="Z77" s="96">
        <v>58</v>
      </c>
      <c r="AA77" s="96">
        <f t="shared" si="2"/>
        <v>58</v>
      </c>
      <c r="AB77" s="97">
        <f t="shared" si="3"/>
        <v>0</v>
      </c>
      <c r="AC77" s="97">
        <f t="shared" si="4"/>
        <v>4022.8899999999994</v>
      </c>
      <c r="AD77" s="98">
        <v>4022.89</v>
      </c>
      <c r="AE77" s="98">
        <v>4038.4</v>
      </c>
      <c r="AF77" s="98">
        <v>4058.2</v>
      </c>
      <c r="AG77" s="98">
        <f t="shared" si="5"/>
        <v>35.309999999999945</v>
      </c>
      <c r="AH77" s="99">
        <v>1537.9</v>
      </c>
      <c r="AI77" s="100">
        <f t="shared" si="6"/>
        <v>6241105.7800000003</v>
      </c>
      <c r="AJ77" s="100">
        <f>(0*AH77)*2</f>
        <v>0</v>
      </c>
      <c r="AK77" s="100">
        <v>0</v>
      </c>
      <c r="AL77" s="100">
        <v>24140</v>
      </c>
      <c r="AM77" s="100">
        <v>0</v>
      </c>
      <c r="AN77" s="100">
        <v>0</v>
      </c>
      <c r="AO77" s="100">
        <v>0</v>
      </c>
      <c r="AP77" s="100">
        <f t="shared" si="28"/>
        <v>313263</v>
      </c>
      <c r="AQ77" s="101">
        <f t="shared" si="18"/>
        <v>6578509</v>
      </c>
      <c r="AR77" s="101">
        <v>0</v>
      </c>
      <c r="AS77" s="101">
        <v>0</v>
      </c>
      <c r="AT77" s="102" t="s">
        <v>33</v>
      </c>
      <c r="AU77" s="109">
        <v>9</v>
      </c>
      <c r="AV77" s="100">
        <f>25.94-17.44</f>
        <v>8.5</v>
      </c>
      <c r="AW77" s="105"/>
      <c r="AX77" s="106">
        <f t="shared" si="26"/>
        <v>0.87009018776797475</v>
      </c>
      <c r="AY77" s="101">
        <f t="shared" si="11"/>
        <v>54304</v>
      </c>
      <c r="AZ77" s="107"/>
      <c r="BA77" s="94">
        <v>45398.208333333336</v>
      </c>
      <c r="BB77" s="94">
        <v>45398.211805555555</v>
      </c>
      <c r="BC77" s="94">
        <v>45398.21875</v>
      </c>
      <c r="BD77" s="94">
        <v>45398.404166666667</v>
      </c>
      <c r="BE77" s="95">
        <f t="shared" si="21"/>
        <v>0.19583333333139308</v>
      </c>
      <c r="BF77" s="95">
        <v>1.3888888888888888E-2</v>
      </c>
      <c r="BG77" s="95">
        <v>5.9722222222222225E-2</v>
      </c>
      <c r="BH77" s="95">
        <f t="shared" si="22"/>
        <v>3.4722222189884633E-3</v>
      </c>
      <c r="BI77" s="95">
        <f t="shared" si="22"/>
        <v>6.9444444452528842E-3</v>
      </c>
      <c r="BJ77" s="95">
        <f t="shared" si="22"/>
        <v>0.18541666666715173</v>
      </c>
      <c r="BK77" s="95">
        <f t="shared" si="23"/>
        <v>0.19236111111240461</v>
      </c>
      <c r="BL77" s="95">
        <f t="shared" si="24"/>
        <v>0.11875000000129349</v>
      </c>
      <c r="BM77" s="95" t="str">
        <f t="shared" si="25"/>
        <v>00:00</v>
      </c>
      <c r="BN77" s="110"/>
    </row>
    <row r="78" spans="1:66" s="8" customFormat="1" ht="12.75" customHeight="1" x14ac:dyDescent="0.25">
      <c r="A78" s="90">
        <v>47</v>
      </c>
      <c r="B78" s="90">
        <v>47</v>
      </c>
      <c r="C78" s="90">
        <v>11</v>
      </c>
      <c r="D78" s="90" t="s">
        <v>113</v>
      </c>
      <c r="E78" s="91" t="s">
        <v>188</v>
      </c>
      <c r="F78" s="90" t="s">
        <v>29</v>
      </c>
      <c r="G78" s="90" t="s">
        <v>15</v>
      </c>
      <c r="H78" s="90" t="s">
        <v>124</v>
      </c>
      <c r="I78" s="92" t="s">
        <v>189</v>
      </c>
      <c r="J78" s="93"/>
      <c r="K78" s="92" t="s">
        <v>122</v>
      </c>
      <c r="L78" s="92">
        <v>461000187</v>
      </c>
      <c r="M78" s="93">
        <v>45398</v>
      </c>
      <c r="N78" s="94">
        <v>45398.625</v>
      </c>
      <c r="O78" s="94">
        <v>45398.625</v>
      </c>
      <c r="P78" s="94">
        <v>45398.628472222219</v>
      </c>
      <c r="Q78" s="94">
        <v>45398.833333333336</v>
      </c>
      <c r="R78" s="114" t="s">
        <v>118</v>
      </c>
      <c r="S78" s="114">
        <v>45398.833333333336</v>
      </c>
      <c r="T78" s="114">
        <v>45399.048611111109</v>
      </c>
      <c r="U78" s="114">
        <v>45399.145833333336</v>
      </c>
      <c r="V78" s="95">
        <f t="shared" si="19"/>
        <v>0.20833333333575865</v>
      </c>
      <c r="W78" s="95">
        <v>0.20833333333333334</v>
      </c>
      <c r="X78" s="95">
        <f t="shared" si="20"/>
        <v>2.4253099528692701E-12</v>
      </c>
      <c r="Y78" s="96">
        <v>0</v>
      </c>
      <c r="Z78" s="96">
        <v>58</v>
      </c>
      <c r="AA78" s="96">
        <f t="shared" si="2"/>
        <v>58</v>
      </c>
      <c r="AB78" s="97">
        <f t="shared" si="3"/>
        <v>0</v>
      </c>
      <c r="AC78" s="97">
        <f t="shared" si="4"/>
        <v>3852.7</v>
      </c>
      <c r="AD78" s="98">
        <v>3852.7</v>
      </c>
      <c r="AE78" s="98">
        <v>4027.2</v>
      </c>
      <c r="AF78" s="98">
        <v>4029.2</v>
      </c>
      <c r="AG78" s="98">
        <f t="shared" si="5"/>
        <v>176.5</v>
      </c>
      <c r="AH78" s="99">
        <v>797.2</v>
      </c>
      <c r="AI78" s="100">
        <f t="shared" si="6"/>
        <v>3212078.24</v>
      </c>
      <c r="AJ78" s="100">
        <f>(0.4*AH78)*2</f>
        <v>637.7600000000001</v>
      </c>
      <c r="AK78" s="100">
        <v>0</v>
      </c>
      <c r="AL78" s="100">
        <v>0</v>
      </c>
      <c r="AM78" s="100">
        <v>0</v>
      </c>
      <c r="AN78" s="100">
        <v>0</v>
      </c>
      <c r="AO78" s="100">
        <v>0</v>
      </c>
      <c r="AP78" s="100">
        <f t="shared" si="28"/>
        <v>160636</v>
      </c>
      <c r="AQ78" s="101">
        <f t="shared" si="18"/>
        <v>3373352</v>
      </c>
      <c r="AR78" s="101">
        <v>0</v>
      </c>
      <c r="AS78" s="101">
        <v>0</v>
      </c>
      <c r="AT78" s="102" t="s">
        <v>33</v>
      </c>
      <c r="AU78" s="109" t="s">
        <v>118</v>
      </c>
      <c r="AV78" s="100">
        <v>0</v>
      </c>
      <c r="AW78" s="105"/>
      <c r="AX78" s="106">
        <f t="shared" si="26"/>
        <v>4.3805221880274008</v>
      </c>
      <c r="AY78" s="101">
        <f t="shared" si="11"/>
        <v>140706</v>
      </c>
      <c r="AZ78" s="107"/>
      <c r="BA78" s="94">
        <v>45398.625</v>
      </c>
      <c r="BB78" s="94">
        <v>45398.628472222219</v>
      </c>
      <c r="BC78" s="94">
        <v>45398.628472222219</v>
      </c>
      <c r="BD78" s="94">
        <v>45398.811805555553</v>
      </c>
      <c r="BE78" s="95">
        <f t="shared" si="21"/>
        <v>0.18680555555329192</v>
      </c>
      <c r="BF78" s="95">
        <v>2.0833333333333333E-3</v>
      </c>
      <c r="BG78" s="95">
        <v>7.9861111111111105E-2</v>
      </c>
      <c r="BH78" s="95">
        <f t="shared" si="22"/>
        <v>3.4722222189884633E-3</v>
      </c>
      <c r="BI78" s="95">
        <f t="shared" si="22"/>
        <v>0</v>
      </c>
      <c r="BJ78" s="95">
        <f t="shared" si="22"/>
        <v>0.18333333333430346</v>
      </c>
      <c r="BK78" s="95">
        <f t="shared" si="23"/>
        <v>0.18333333333430346</v>
      </c>
      <c r="BL78" s="95">
        <f t="shared" si="24"/>
        <v>0.10138888888985903</v>
      </c>
      <c r="BM78" s="95" t="str">
        <f t="shared" si="25"/>
        <v>00:00</v>
      </c>
      <c r="BN78" s="110"/>
    </row>
    <row r="79" spans="1:66" s="8" customFormat="1" ht="12.75" customHeight="1" x14ac:dyDescent="0.25">
      <c r="A79" s="90">
        <v>48</v>
      </c>
      <c r="B79" s="90">
        <v>48</v>
      </c>
      <c r="C79" s="90">
        <v>8</v>
      </c>
      <c r="D79" s="90" t="s">
        <v>113</v>
      </c>
      <c r="E79" s="91" t="s">
        <v>156</v>
      </c>
      <c r="F79" s="90" t="s">
        <v>37</v>
      </c>
      <c r="G79" s="90" t="s">
        <v>8</v>
      </c>
      <c r="H79" s="90" t="s">
        <v>165</v>
      </c>
      <c r="I79" s="92" t="s">
        <v>190</v>
      </c>
      <c r="J79" s="93">
        <v>45398</v>
      </c>
      <c r="K79" s="92" t="s">
        <v>117</v>
      </c>
      <c r="L79" s="92">
        <v>481000032</v>
      </c>
      <c r="M79" s="93">
        <v>45399</v>
      </c>
      <c r="N79" s="94">
        <v>45398.8125</v>
      </c>
      <c r="O79" s="94">
        <v>45398.8125</v>
      </c>
      <c r="P79" s="94">
        <v>45398.815972222219</v>
      </c>
      <c r="Q79" s="94">
        <v>45398.989583333336</v>
      </c>
      <c r="R79" s="114" t="s">
        <v>118</v>
      </c>
      <c r="S79" s="114">
        <v>45399.0625</v>
      </c>
      <c r="T79" s="114">
        <v>45399.229166666664</v>
      </c>
      <c r="U79" s="114">
        <v>45399.364583333336</v>
      </c>
      <c r="V79" s="95">
        <f t="shared" si="19"/>
        <v>0.17708333333575865</v>
      </c>
      <c r="W79" s="95">
        <v>0.20833333333333334</v>
      </c>
      <c r="X79" s="95" t="str">
        <f t="shared" si="20"/>
        <v>00:00</v>
      </c>
      <c r="Y79" s="96">
        <v>0</v>
      </c>
      <c r="Z79" s="96">
        <v>58</v>
      </c>
      <c r="AA79" s="96">
        <f t="shared" si="2"/>
        <v>58</v>
      </c>
      <c r="AB79" s="97">
        <f t="shared" si="3"/>
        <v>0</v>
      </c>
      <c r="AC79" s="97">
        <f t="shared" si="4"/>
        <v>4027.4099999999994</v>
      </c>
      <c r="AD79" s="98">
        <v>4027.41</v>
      </c>
      <c r="AE79" s="98">
        <v>4046.9</v>
      </c>
      <c r="AF79" s="98">
        <v>4069.8</v>
      </c>
      <c r="AG79" s="98">
        <f t="shared" si="5"/>
        <v>42.390000000000327</v>
      </c>
      <c r="AH79" s="99">
        <v>1537.9</v>
      </c>
      <c r="AI79" s="100">
        <f t="shared" si="6"/>
        <v>6258945.4200000009</v>
      </c>
      <c r="AJ79" s="100">
        <f>(0*AH79)*2</f>
        <v>0</v>
      </c>
      <c r="AK79" s="100">
        <v>0</v>
      </c>
      <c r="AL79" s="100">
        <v>24140</v>
      </c>
      <c r="AM79" s="100">
        <v>0</v>
      </c>
      <c r="AN79" s="100">
        <v>0</v>
      </c>
      <c r="AO79" s="100">
        <v>0</v>
      </c>
      <c r="AP79" s="100">
        <f t="shared" si="28"/>
        <v>314155</v>
      </c>
      <c r="AQ79" s="101">
        <f t="shared" si="18"/>
        <v>6597241</v>
      </c>
      <c r="AR79" s="101">
        <v>0</v>
      </c>
      <c r="AS79" s="101">
        <v>0</v>
      </c>
      <c r="AT79" s="102" t="s">
        <v>33</v>
      </c>
      <c r="AU79" s="109">
        <v>11</v>
      </c>
      <c r="AV79" s="100">
        <f>31.6-21.6</f>
        <v>10</v>
      </c>
      <c r="AW79" s="105"/>
      <c r="AX79" s="106">
        <f t="shared" si="26"/>
        <v>1.0415745245466688</v>
      </c>
      <c r="AY79" s="101">
        <f t="shared" si="11"/>
        <v>65192</v>
      </c>
      <c r="AZ79" s="107"/>
      <c r="BA79" s="94">
        <v>45398.8125</v>
      </c>
      <c r="BB79" s="94">
        <v>45398.815972222219</v>
      </c>
      <c r="BC79" s="94">
        <v>45398.833333333336</v>
      </c>
      <c r="BD79" s="94">
        <v>45399.059027777781</v>
      </c>
      <c r="BE79" s="95">
        <f t="shared" si="21"/>
        <v>0.24652777778101154</v>
      </c>
      <c r="BF79" s="95">
        <v>3.888888888888889E-2</v>
      </c>
      <c r="BG79" s="95">
        <v>7.1527777777777773E-2</v>
      </c>
      <c r="BH79" s="95">
        <f t="shared" si="22"/>
        <v>3.4722222189884633E-3</v>
      </c>
      <c r="BI79" s="95">
        <f t="shared" si="22"/>
        <v>1.7361111116770189E-2</v>
      </c>
      <c r="BJ79" s="95">
        <f t="shared" si="22"/>
        <v>0.22569444444525288</v>
      </c>
      <c r="BK79" s="95">
        <f t="shared" si="23"/>
        <v>0.24305555556202307</v>
      </c>
      <c r="BL79" s="95">
        <f t="shared" si="24"/>
        <v>0.13263888889535641</v>
      </c>
      <c r="BM79" s="95">
        <f t="shared" si="25"/>
        <v>3.8194444447678194E-2</v>
      </c>
      <c r="BN79" s="110"/>
    </row>
    <row r="80" spans="1:66" s="8" customFormat="1" ht="12.75" customHeight="1" x14ac:dyDescent="0.25">
      <c r="A80" s="90">
        <v>49</v>
      </c>
      <c r="B80" s="90">
        <v>49</v>
      </c>
      <c r="C80" s="90">
        <v>14</v>
      </c>
      <c r="D80" s="90" t="s">
        <v>148</v>
      </c>
      <c r="E80" s="91" t="s">
        <v>149</v>
      </c>
      <c r="F80" s="90" t="s">
        <v>16</v>
      </c>
      <c r="G80" s="90" t="s">
        <v>17</v>
      </c>
      <c r="H80" s="90" t="s">
        <v>150</v>
      </c>
      <c r="I80" s="92" t="s">
        <v>191</v>
      </c>
      <c r="J80" s="93">
        <v>45398</v>
      </c>
      <c r="K80" s="92" t="s">
        <v>122</v>
      </c>
      <c r="L80" s="92">
        <v>461000188</v>
      </c>
      <c r="M80" s="93">
        <v>45399</v>
      </c>
      <c r="N80" s="94">
        <v>45399.1875</v>
      </c>
      <c r="O80" s="94">
        <v>45399.1875</v>
      </c>
      <c r="P80" s="94">
        <v>45399.194444444445</v>
      </c>
      <c r="Q80" s="94">
        <v>45399.395833333336</v>
      </c>
      <c r="R80" s="114" t="s">
        <v>118</v>
      </c>
      <c r="S80" s="114" t="s">
        <v>118</v>
      </c>
      <c r="T80" s="114">
        <v>45399.604166666664</v>
      </c>
      <c r="U80" s="114">
        <v>45399.703472222223</v>
      </c>
      <c r="V80" s="95">
        <f t="shared" si="19"/>
        <v>0.20833333333575865</v>
      </c>
      <c r="W80" s="95">
        <v>0.20833333333333334</v>
      </c>
      <c r="X80" s="95">
        <f t="shared" si="20"/>
        <v>2.4253099528692701E-12</v>
      </c>
      <c r="Y80" s="96">
        <v>0</v>
      </c>
      <c r="Z80" s="96">
        <v>59</v>
      </c>
      <c r="AA80" s="96">
        <f t="shared" si="2"/>
        <v>59</v>
      </c>
      <c r="AB80" s="97">
        <f t="shared" si="3"/>
        <v>0</v>
      </c>
      <c r="AC80" s="97">
        <f t="shared" si="4"/>
        <v>4041.34</v>
      </c>
      <c r="AD80" s="98">
        <v>4041.34</v>
      </c>
      <c r="AE80" s="98">
        <v>4126</v>
      </c>
      <c r="AF80" s="98">
        <v>4128</v>
      </c>
      <c r="AG80" s="98">
        <f t="shared" si="5"/>
        <v>86.659999999999854</v>
      </c>
      <c r="AH80" s="99">
        <v>672.5</v>
      </c>
      <c r="AI80" s="100">
        <f t="shared" si="6"/>
        <v>2776080</v>
      </c>
      <c r="AJ80" s="100">
        <f>(0.6*AH80)*2</f>
        <v>807</v>
      </c>
      <c r="AK80" s="100">
        <v>0</v>
      </c>
      <c r="AL80" s="100">
        <v>0</v>
      </c>
      <c r="AM80" s="100">
        <v>0</v>
      </c>
      <c r="AN80" s="100">
        <v>0</v>
      </c>
      <c r="AO80" s="100">
        <v>0</v>
      </c>
      <c r="AP80" s="100">
        <f t="shared" si="28"/>
        <v>138845</v>
      </c>
      <c r="AQ80" s="101">
        <f t="shared" si="18"/>
        <v>2915732</v>
      </c>
      <c r="AR80" s="101">
        <v>0</v>
      </c>
      <c r="AS80" s="101">
        <v>0</v>
      </c>
      <c r="AT80" s="102" t="s">
        <v>33</v>
      </c>
      <c r="AU80" s="109" t="s">
        <v>118</v>
      </c>
      <c r="AV80" s="100">
        <v>0</v>
      </c>
      <c r="AW80" s="105"/>
      <c r="AX80" s="106">
        <f t="shared" si="26"/>
        <v>2.0993217054263531</v>
      </c>
      <c r="AY80" s="101">
        <f t="shared" si="11"/>
        <v>58279</v>
      </c>
      <c r="AZ80" s="107"/>
      <c r="BA80" s="94">
        <v>45399.1875</v>
      </c>
      <c r="BB80" s="94">
        <v>45399.194444444445</v>
      </c>
      <c r="BC80" s="94">
        <v>45399.197916666664</v>
      </c>
      <c r="BD80" s="94">
        <v>45399.399305555555</v>
      </c>
      <c r="BE80" s="95">
        <f t="shared" si="21"/>
        <v>0.21180555555474712</v>
      </c>
      <c r="BF80" s="95">
        <v>5.1388888888888887E-2</v>
      </c>
      <c r="BG80" s="95">
        <v>0</v>
      </c>
      <c r="BH80" s="95">
        <f t="shared" si="22"/>
        <v>6.9444444452528842E-3</v>
      </c>
      <c r="BI80" s="95">
        <f t="shared" si="22"/>
        <v>3.4722222189884633E-3</v>
      </c>
      <c r="BJ80" s="95">
        <f t="shared" si="22"/>
        <v>0.20138888889050577</v>
      </c>
      <c r="BK80" s="95">
        <f t="shared" si="23"/>
        <v>0.20486111110949423</v>
      </c>
      <c r="BL80" s="95">
        <f t="shared" si="24"/>
        <v>0.15347222222060536</v>
      </c>
      <c r="BM80" s="95">
        <f t="shared" si="25"/>
        <v>3.4722222214137732E-3</v>
      </c>
      <c r="BN80" s="110"/>
    </row>
    <row r="81" spans="1:66" s="8" customFormat="1" ht="12.75" customHeight="1" x14ac:dyDescent="0.25">
      <c r="A81" s="90">
        <v>50</v>
      </c>
      <c r="B81" s="90">
        <v>50</v>
      </c>
      <c r="C81" s="90">
        <v>3</v>
      </c>
      <c r="D81" s="90" t="s">
        <v>113</v>
      </c>
      <c r="E81" s="91" t="s">
        <v>137</v>
      </c>
      <c r="F81" s="90" t="s">
        <v>27</v>
      </c>
      <c r="G81" s="90" t="s">
        <v>12</v>
      </c>
      <c r="H81" s="90" t="s">
        <v>115</v>
      </c>
      <c r="I81" s="92" t="s">
        <v>192</v>
      </c>
      <c r="J81" s="93">
        <v>45399</v>
      </c>
      <c r="K81" s="92" t="s">
        <v>117</v>
      </c>
      <c r="L81" s="92">
        <v>282000890</v>
      </c>
      <c r="M81" s="93">
        <v>45400</v>
      </c>
      <c r="N81" s="94">
        <v>45399.59375</v>
      </c>
      <c r="O81" s="94">
        <v>45399.59375</v>
      </c>
      <c r="P81" s="94">
        <v>45399.597222222219</v>
      </c>
      <c r="Q81" s="94">
        <v>45399.802083333336</v>
      </c>
      <c r="R81" s="114" t="s">
        <v>118</v>
      </c>
      <c r="S81" s="114" t="s">
        <v>118</v>
      </c>
      <c r="T81" s="114">
        <v>45399.833333333336</v>
      </c>
      <c r="U81" s="114">
        <v>45399.961805555555</v>
      </c>
      <c r="V81" s="95">
        <f t="shared" si="19"/>
        <v>0.20833333333575865</v>
      </c>
      <c r="W81" s="95">
        <v>0.20833333333333334</v>
      </c>
      <c r="X81" s="95">
        <f t="shared" si="20"/>
        <v>2.4253099528692701E-12</v>
      </c>
      <c r="Y81" s="96">
        <v>0</v>
      </c>
      <c r="Z81" s="96">
        <v>59</v>
      </c>
      <c r="AA81" s="96">
        <f t="shared" si="2"/>
        <v>59</v>
      </c>
      <c r="AB81" s="97">
        <f t="shared" si="3"/>
        <v>0</v>
      </c>
      <c r="AC81" s="97">
        <f t="shared" si="4"/>
        <v>4019.06</v>
      </c>
      <c r="AD81" s="98">
        <v>4019.06</v>
      </c>
      <c r="AE81" s="98">
        <v>4103.5</v>
      </c>
      <c r="AF81" s="98">
        <v>4115</v>
      </c>
      <c r="AG81" s="98">
        <f t="shared" si="5"/>
        <v>95.940000000000055</v>
      </c>
      <c r="AH81" s="99">
        <v>1586.7</v>
      </c>
      <c r="AI81" s="100">
        <f t="shared" si="6"/>
        <v>6529270.5</v>
      </c>
      <c r="AJ81" s="100">
        <f>(0*AH81)*2</f>
        <v>0</v>
      </c>
      <c r="AK81" s="100">
        <v>0</v>
      </c>
      <c r="AL81" s="100">
        <v>24290</v>
      </c>
      <c r="AM81" s="100">
        <v>0</v>
      </c>
      <c r="AN81" s="100">
        <v>0</v>
      </c>
      <c r="AO81" s="100">
        <f>IFERROR(AF81*20+(((AJ81/AH81)/2)*20),0)</f>
        <v>82300</v>
      </c>
      <c r="AP81" s="100">
        <f t="shared" si="28"/>
        <v>331794</v>
      </c>
      <c r="AQ81" s="101">
        <f t="shared" si="18"/>
        <v>6967655</v>
      </c>
      <c r="AR81" s="101">
        <v>0</v>
      </c>
      <c r="AS81" s="101">
        <v>0</v>
      </c>
      <c r="AT81" s="102" t="s">
        <v>33</v>
      </c>
      <c r="AU81" s="109">
        <v>6</v>
      </c>
      <c r="AV81" s="100">
        <f>16.2-10.2</f>
        <v>6</v>
      </c>
      <c r="AW81" s="105"/>
      <c r="AX81" s="106">
        <f t="shared" si="26"/>
        <v>2.3314702308626987</v>
      </c>
      <c r="AY81" s="101">
        <f t="shared" si="11"/>
        <v>152228</v>
      </c>
      <c r="AZ81" s="107"/>
      <c r="BA81" s="94">
        <v>45399.59375</v>
      </c>
      <c r="BB81" s="94">
        <v>45399.597222222219</v>
      </c>
      <c r="BC81" s="94">
        <v>45399.611111111109</v>
      </c>
      <c r="BD81" s="94">
        <v>45399.806944444441</v>
      </c>
      <c r="BE81" s="95">
        <f t="shared" si="21"/>
        <v>0.21319444444088731</v>
      </c>
      <c r="BF81" s="95">
        <v>2.5000000000000001E-2</v>
      </c>
      <c r="BG81" s="95">
        <v>8.0555555555555561E-2</v>
      </c>
      <c r="BH81" s="95">
        <f t="shared" si="22"/>
        <v>3.4722222189884633E-3</v>
      </c>
      <c r="BI81" s="95">
        <f t="shared" si="22"/>
        <v>1.3888888890505768E-2</v>
      </c>
      <c r="BJ81" s="95">
        <f t="shared" si="22"/>
        <v>0.19583333333139308</v>
      </c>
      <c r="BK81" s="95">
        <f t="shared" si="23"/>
        <v>0.20972222222189885</v>
      </c>
      <c r="BL81" s="95">
        <f t="shared" si="24"/>
        <v>0.10416666666634329</v>
      </c>
      <c r="BM81" s="95">
        <f t="shared" si="25"/>
        <v>4.861111107553967E-3</v>
      </c>
      <c r="BN81" s="110"/>
    </row>
    <row r="82" spans="1:66" s="8" customFormat="1" ht="12.75" customHeight="1" x14ac:dyDescent="0.25">
      <c r="A82" s="115">
        <v>51</v>
      </c>
      <c r="B82" s="115">
        <v>51</v>
      </c>
      <c r="C82" s="115">
        <v>15</v>
      </c>
      <c r="D82" s="115" t="s">
        <v>148</v>
      </c>
      <c r="E82" s="91" t="s">
        <v>149</v>
      </c>
      <c r="F82" s="115" t="s">
        <v>16</v>
      </c>
      <c r="G82" s="115" t="s">
        <v>17</v>
      </c>
      <c r="H82" s="115" t="s">
        <v>150</v>
      </c>
      <c r="I82" s="116" t="s">
        <v>193</v>
      </c>
      <c r="J82" s="117">
        <v>45398</v>
      </c>
      <c r="K82" s="116" t="s">
        <v>122</v>
      </c>
      <c r="L82" s="116">
        <v>461000189</v>
      </c>
      <c r="M82" s="117">
        <v>45400</v>
      </c>
      <c r="N82" s="118">
        <v>45399.770833333336</v>
      </c>
      <c r="O82" s="118">
        <v>45399.770833333336</v>
      </c>
      <c r="P82" s="118">
        <v>45399.774305555555</v>
      </c>
      <c r="Q82" s="118">
        <v>45399.96875</v>
      </c>
      <c r="R82" s="118" t="s">
        <v>118</v>
      </c>
      <c r="S82" s="118" t="s">
        <v>118</v>
      </c>
      <c r="T82" s="118">
        <v>45400.020833333336</v>
      </c>
      <c r="U82" s="118">
        <v>45400.145833333336</v>
      </c>
      <c r="V82" s="119">
        <f t="shared" si="19"/>
        <v>0.19791666666424135</v>
      </c>
      <c r="W82" s="119">
        <v>0.20833333333333334</v>
      </c>
      <c r="X82" s="119" t="str">
        <f t="shared" si="20"/>
        <v>00:00</v>
      </c>
      <c r="Y82" s="96">
        <v>0</v>
      </c>
      <c r="Z82" s="96">
        <v>1</v>
      </c>
      <c r="AA82" s="96">
        <f t="shared" si="2"/>
        <v>1</v>
      </c>
      <c r="AB82" s="97">
        <f t="shared" si="3"/>
        <v>0</v>
      </c>
      <c r="AC82" s="97">
        <f t="shared" si="4"/>
        <v>70.299999999999727</v>
      </c>
      <c r="AD82" s="98">
        <f>3739.31-3669.01</f>
        <v>70.299999999999727</v>
      </c>
      <c r="AE82" s="98">
        <f>3793.4-3723.4</f>
        <v>70</v>
      </c>
      <c r="AF82" s="98">
        <f>3803.6-3733.6</f>
        <v>70</v>
      </c>
      <c r="AG82" s="98">
        <f t="shared" si="5"/>
        <v>-0.29999999999972715</v>
      </c>
      <c r="AH82" s="99">
        <v>672.5</v>
      </c>
      <c r="AI82" s="100">
        <f t="shared" si="6"/>
        <v>47075</v>
      </c>
      <c r="AJ82" s="100">
        <f>(0*AH82)*2</f>
        <v>0</v>
      </c>
      <c r="AK82" s="100">
        <v>0</v>
      </c>
      <c r="AL82" s="100">
        <v>0</v>
      </c>
      <c r="AM82" s="100">
        <v>0</v>
      </c>
      <c r="AN82" s="100">
        <v>0</v>
      </c>
      <c r="AO82" s="100">
        <v>0</v>
      </c>
      <c r="AP82" s="100">
        <f t="shared" si="28"/>
        <v>2354</v>
      </c>
      <c r="AQ82" s="101">
        <f t="shared" si="18"/>
        <v>49429</v>
      </c>
      <c r="AR82" s="101">
        <v>0</v>
      </c>
      <c r="AS82" s="101">
        <v>0</v>
      </c>
      <c r="AT82" s="102" t="s">
        <v>33</v>
      </c>
      <c r="AU82" s="120">
        <v>4</v>
      </c>
      <c r="AV82" s="121">
        <f>12.35-9.35</f>
        <v>3</v>
      </c>
      <c r="AW82" s="105"/>
      <c r="AX82" s="131">
        <f>IFERROR(((AG82+AG83)/(AF82+AF83))*100, "")</f>
        <v>1.6902408244820688</v>
      </c>
      <c r="AY82" s="132">
        <f>ROUNDUP((AG82+AG83)*AH82,0)</f>
        <v>43236</v>
      </c>
      <c r="AZ82" s="107"/>
      <c r="BA82" s="118">
        <v>45399.770833333336</v>
      </c>
      <c r="BB82" s="118">
        <v>45399.774305555555</v>
      </c>
      <c r="BC82" s="118">
        <v>45399.829861111109</v>
      </c>
      <c r="BD82" s="118">
        <v>45399.962500000001</v>
      </c>
      <c r="BE82" s="119">
        <f t="shared" si="21"/>
        <v>0.19166666666569654</v>
      </c>
      <c r="BF82" s="119">
        <v>3.8194444444444448E-2</v>
      </c>
      <c r="BG82" s="119">
        <v>3.2638888888888891E-2</v>
      </c>
      <c r="BH82" s="119">
        <f t="shared" si="22"/>
        <v>3.4722222189884633E-3</v>
      </c>
      <c r="BI82" s="119">
        <f t="shared" si="22"/>
        <v>5.5555555554747116E-2</v>
      </c>
      <c r="BJ82" s="119">
        <f t="shared" si="22"/>
        <v>0.13263888889196096</v>
      </c>
      <c r="BK82" s="119">
        <f t="shared" si="23"/>
        <v>0.18819444444670808</v>
      </c>
      <c r="BL82" s="119">
        <f t="shared" si="24"/>
        <v>0.11736111111337474</v>
      </c>
      <c r="BM82" s="119" t="str">
        <f t="shared" si="25"/>
        <v>00:00</v>
      </c>
      <c r="BN82" s="110" t="s">
        <v>194</v>
      </c>
    </row>
    <row r="83" spans="1:66" s="8" customFormat="1" ht="12.75" customHeight="1" x14ac:dyDescent="0.25">
      <c r="A83" s="122"/>
      <c r="B83" s="122"/>
      <c r="C83" s="122"/>
      <c r="D83" s="122"/>
      <c r="E83" s="91" t="s">
        <v>195</v>
      </c>
      <c r="F83" s="122"/>
      <c r="G83" s="122"/>
      <c r="H83" s="122"/>
      <c r="I83" s="123"/>
      <c r="J83" s="124"/>
      <c r="K83" s="123"/>
      <c r="L83" s="123"/>
      <c r="M83" s="124"/>
      <c r="N83" s="125"/>
      <c r="O83" s="125"/>
      <c r="P83" s="125"/>
      <c r="Q83" s="125"/>
      <c r="R83" s="125"/>
      <c r="S83" s="125"/>
      <c r="T83" s="125"/>
      <c r="U83" s="125"/>
      <c r="V83" s="126"/>
      <c r="W83" s="126"/>
      <c r="X83" s="126"/>
      <c r="Y83" s="96">
        <v>0</v>
      </c>
      <c r="Z83" s="96">
        <v>54</v>
      </c>
      <c r="AA83" s="96">
        <f t="shared" si="2"/>
        <v>54</v>
      </c>
      <c r="AB83" s="97">
        <f t="shared" si="3"/>
        <v>0</v>
      </c>
      <c r="AC83" s="97">
        <f t="shared" si="4"/>
        <v>3669.01</v>
      </c>
      <c r="AD83" s="98">
        <v>3669.01</v>
      </c>
      <c r="AE83" s="98">
        <v>3723.4</v>
      </c>
      <c r="AF83" s="98">
        <v>3733.6</v>
      </c>
      <c r="AG83" s="98">
        <f t="shared" si="5"/>
        <v>64.589999999999691</v>
      </c>
      <c r="AH83" s="99">
        <v>672.5</v>
      </c>
      <c r="AI83" s="100">
        <f t="shared" si="6"/>
        <v>2510846</v>
      </c>
      <c r="AJ83" s="100">
        <f>(0*AH83)*2</f>
        <v>0</v>
      </c>
      <c r="AK83" s="100">
        <v>0</v>
      </c>
      <c r="AL83" s="100">
        <v>23690</v>
      </c>
      <c r="AM83" s="100">
        <v>0</v>
      </c>
      <c r="AN83" s="100">
        <v>0</v>
      </c>
      <c r="AO83" s="100">
        <v>0</v>
      </c>
      <c r="AP83" s="100">
        <f t="shared" si="28"/>
        <v>126727</v>
      </c>
      <c r="AQ83" s="101">
        <f t="shared" si="18"/>
        <v>2661263</v>
      </c>
      <c r="AR83" s="101">
        <v>0</v>
      </c>
      <c r="AS83" s="101">
        <v>0</v>
      </c>
      <c r="AT83" s="102" t="s">
        <v>33</v>
      </c>
      <c r="AU83" s="127"/>
      <c r="AV83" s="128"/>
      <c r="AW83" s="105"/>
      <c r="AX83" s="133"/>
      <c r="AY83" s="134"/>
      <c r="AZ83" s="107"/>
      <c r="BA83" s="125"/>
      <c r="BB83" s="125"/>
      <c r="BC83" s="125"/>
      <c r="BD83" s="125"/>
      <c r="BE83" s="126"/>
      <c r="BF83" s="126"/>
      <c r="BG83" s="126"/>
      <c r="BH83" s="126"/>
      <c r="BI83" s="126"/>
      <c r="BJ83" s="126"/>
      <c r="BK83" s="126"/>
      <c r="BL83" s="126"/>
      <c r="BM83" s="126"/>
      <c r="BN83" s="110" t="s">
        <v>196</v>
      </c>
    </row>
    <row r="84" spans="1:66" s="8" customFormat="1" ht="12.75" customHeight="1" x14ac:dyDescent="0.25">
      <c r="A84" s="115">
        <v>52</v>
      </c>
      <c r="B84" s="115">
        <v>52</v>
      </c>
      <c r="C84" s="115">
        <v>2</v>
      </c>
      <c r="D84" s="115" t="s">
        <v>113</v>
      </c>
      <c r="E84" s="91" t="s">
        <v>188</v>
      </c>
      <c r="F84" s="115" t="s">
        <v>29</v>
      </c>
      <c r="G84" s="111" t="s">
        <v>15</v>
      </c>
      <c r="H84" s="115" t="s">
        <v>124</v>
      </c>
      <c r="I84" s="116" t="s">
        <v>197</v>
      </c>
      <c r="J84" s="117"/>
      <c r="K84" s="116" t="s">
        <v>117</v>
      </c>
      <c r="L84" s="92">
        <v>461000190</v>
      </c>
      <c r="M84" s="93">
        <v>45400</v>
      </c>
      <c r="N84" s="118">
        <v>45399.989583333336</v>
      </c>
      <c r="O84" s="118">
        <v>45399.989583333336</v>
      </c>
      <c r="P84" s="118">
        <v>45399.993055555555</v>
      </c>
      <c r="Q84" s="118">
        <v>45400.197916666664</v>
      </c>
      <c r="R84" s="118" t="s">
        <v>118</v>
      </c>
      <c r="S84" s="118" t="s">
        <v>118</v>
      </c>
      <c r="T84" s="118">
        <v>45400.3125</v>
      </c>
      <c r="U84" s="118">
        <v>45400.419444444444</v>
      </c>
      <c r="V84" s="119">
        <f t="shared" ref="V84:V115" si="29">+Q84-N84</f>
        <v>0.20833333332848269</v>
      </c>
      <c r="W84" s="119">
        <v>0.20833333333333334</v>
      </c>
      <c r="X84" s="119" t="str">
        <f t="shared" ref="X84:X115" si="30">IF(VALUE(V84)&lt;=VALUE("05:00"),"00:00",VALUE(V84)-VALUE("05:00"))</f>
        <v>00:00</v>
      </c>
      <c r="Y84" s="96">
        <v>0</v>
      </c>
      <c r="Z84" s="96">
        <v>33</v>
      </c>
      <c r="AA84" s="96">
        <f t="shared" si="2"/>
        <v>33</v>
      </c>
      <c r="AB84" s="97">
        <f t="shared" si="3"/>
        <v>0</v>
      </c>
      <c r="AC84" s="97">
        <f t="shared" si="4"/>
        <v>2219.4899999999998</v>
      </c>
      <c r="AD84" s="98">
        <v>2219.4899999999998</v>
      </c>
      <c r="AE84" s="98">
        <v>2294.1999999999998</v>
      </c>
      <c r="AF84" s="98">
        <v>2295.1999999999998</v>
      </c>
      <c r="AG84" s="98">
        <f t="shared" si="5"/>
        <v>75.710000000000036</v>
      </c>
      <c r="AH84" s="99">
        <v>797.2</v>
      </c>
      <c r="AI84" s="100">
        <f t="shared" si="6"/>
        <v>1829733.44</v>
      </c>
      <c r="AJ84" s="100">
        <f>(0.4*AH84)*2</f>
        <v>637.7600000000001</v>
      </c>
      <c r="AK84" s="100">
        <v>0</v>
      </c>
      <c r="AL84" s="100">
        <v>0</v>
      </c>
      <c r="AM84" s="100">
        <v>0</v>
      </c>
      <c r="AN84" s="100">
        <v>0</v>
      </c>
      <c r="AO84" s="100">
        <v>0</v>
      </c>
      <c r="AP84" s="100">
        <f t="shared" si="28"/>
        <v>91519</v>
      </c>
      <c r="AQ84" s="101">
        <f t="shared" si="18"/>
        <v>1921891</v>
      </c>
      <c r="AR84" s="101">
        <v>0</v>
      </c>
      <c r="AS84" s="101">
        <v>0</v>
      </c>
      <c r="AT84" s="102" t="s">
        <v>33</v>
      </c>
      <c r="AU84" s="120" t="s">
        <v>118</v>
      </c>
      <c r="AV84" s="121">
        <v>0</v>
      </c>
      <c r="AW84" s="105"/>
      <c r="AX84" s="106">
        <f>IFERROR((AG84/AF84)*100, "")</f>
        <v>3.2986232136632996</v>
      </c>
      <c r="AY84" s="101">
        <f>ROUNDUP(AG84*AH84,0)</f>
        <v>60357</v>
      </c>
      <c r="AZ84" s="107"/>
      <c r="BA84" s="118">
        <v>45399.989583333336</v>
      </c>
      <c r="BB84" s="118">
        <v>45399.993055555555</v>
      </c>
      <c r="BC84" s="118">
        <v>45400.038194444445</v>
      </c>
      <c r="BD84" s="118">
        <v>45400.194444444445</v>
      </c>
      <c r="BE84" s="119">
        <f>+BD84-BA84</f>
        <v>0.20486111110949423</v>
      </c>
      <c r="BF84" s="119">
        <v>4.5138888888888888E-2</v>
      </c>
      <c r="BG84" s="119">
        <v>4.9305555555555554E-2</v>
      </c>
      <c r="BH84" s="119">
        <f>+BB84-BA84</f>
        <v>3.4722222189884633E-3</v>
      </c>
      <c r="BI84" s="119">
        <f>+BC84-BB84</f>
        <v>4.5138888890505768E-2</v>
      </c>
      <c r="BJ84" s="119">
        <f>+BD84-BC84</f>
        <v>0.15625</v>
      </c>
      <c r="BK84" s="119">
        <f>+BI84+BJ84</f>
        <v>0.20138888889050577</v>
      </c>
      <c r="BL84" s="119">
        <f>+BE84-BH84-BF84-BG84</f>
        <v>0.10694444444606133</v>
      </c>
      <c r="BM84" s="119" t="str">
        <f>IF(VALUE(BE84)&lt;=VALUE("05:00"),"00:00",VALUE(BE84)-VALUE("05:00"))</f>
        <v>00:00</v>
      </c>
      <c r="BN84" s="110" t="s">
        <v>198</v>
      </c>
    </row>
    <row r="85" spans="1:66" s="8" customFormat="1" ht="12.75" customHeight="1" x14ac:dyDescent="0.25">
      <c r="A85" s="122"/>
      <c r="B85" s="122"/>
      <c r="C85" s="122">
        <v>32</v>
      </c>
      <c r="D85" s="122" t="s">
        <v>113</v>
      </c>
      <c r="E85" s="91" t="s">
        <v>123</v>
      </c>
      <c r="F85" s="122"/>
      <c r="G85" s="111" t="s">
        <v>8</v>
      </c>
      <c r="H85" s="122" t="s">
        <v>124</v>
      </c>
      <c r="I85" s="123"/>
      <c r="J85" s="124"/>
      <c r="K85" s="123" t="s">
        <v>117</v>
      </c>
      <c r="L85" s="92">
        <v>461000191</v>
      </c>
      <c r="M85" s="93">
        <v>45400</v>
      </c>
      <c r="N85" s="125"/>
      <c r="O85" s="125"/>
      <c r="P85" s="125"/>
      <c r="Q85" s="125"/>
      <c r="R85" s="125"/>
      <c r="S85" s="125"/>
      <c r="T85" s="125"/>
      <c r="U85" s="125"/>
      <c r="V85" s="126">
        <f t="shared" si="29"/>
        <v>0</v>
      </c>
      <c r="W85" s="126">
        <v>0.20833333333333334</v>
      </c>
      <c r="X85" s="126" t="str">
        <f t="shared" si="30"/>
        <v>00:00</v>
      </c>
      <c r="Y85" s="96">
        <v>2</v>
      </c>
      <c r="Z85" s="96">
        <v>23</v>
      </c>
      <c r="AA85" s="96">
        <f t="shared" si="2"/>
        <v>25</v>
      </c>
      <c r="AB85" s="97">
        <f t="shared" si="3"/>
        <v>134.60559999999998</v>
      </c>
      <c r="AC85" s="97">
        <f t="shared" si="4"/>
        <v>1547.9643999999998</v>
      </c>
      <c r="AD85" s="98">
        <v>1682.57</v>
      </c>
      <c r="AE85" s="98">
        <v>1736.9</v>
      </c>
      <c r="AF85" s="98">
        <v>1737</v>
      </c>
      <c r="AG85" s="98">
        <f t="shared" si="5"/>
        <v>54.430000000000064</v>
      </c>
      <c r="AH85" s="99">
        <v>797.2</v>
      </c>
      <c r="AI85" s="100">
        <f t="shared" si="6"/>
        <v>1384736.4000000001</v>
      </c>
      <c r="AJ85" s="100">
        <f t="shared" ref="AJ85:AJ90" si="31">(0*AH85)*2</f>
        <v>0</v>
      </c>
      <c r="AK85" s="100">
        <v>0</v>
      </c>
      <c r="AL85" s="100">
        <v>0</v>
      </c>
      <c r="AM85" s="100">
        <v>0</v>
      </c>
      <c r="AN85" s="100">
        <v>0</v>
      </c>
      <c r="AO85" s="100">
        <v>0</v>
      </c>
      <c r="AP85" s="100">
        <f t="shared" si="28"/>
        <v>69237</v>
      </c>
      <c r="AQ85" s="101">
        <f t="shared" si="18"/>
        <v>1453974</v>
      </c>
      <c r="AR85" s="101">
        <v>0</v>
      </c>
      <c r="AS85" s="101">
        <v>0</v>
      </c>
      <c r="AT85" s="102" t="s">
        <v>33</v>
      </c>
      <c r="AU85" s="127"/>
      <c r="AV85" s="128"/>
      <c r="AW85" s="105"/>
      <c r="AX85" s="106">
        <f>IFERROR((AG85/AF85)*100, "")</f>
        <v>3.1335636154289039</v>
      </c>
      <c r="AY85" s="101">
        <f>ROUNDUP(AG85*AH85,0)</f>
        <v>43392</v>
      </c>
      <c r="AZ85" s="107"/>
      <c r="BA85" s="125"/>
      <c r="BB85" s="125"/>
      <c r="BC85" s="125"/>
      <c r="BD85" s="125"/>
      <c r="BE85" s="126"/>
      <c r="BF85" s="126"/>
      <c r="BG85" s="126"/>
      <c r="BH85" s="126"/>
      <c r="BI85" s="126"/>
      <c r="BJ85" s="126"/>
      <c r="BK85" s="126"/>
      <c r="BL85" s="126"/>
      <c r="BM85" s="126"/>
      <c r="BN85" s="110" t="s">
        <v>199</v>
      </c>
    </row>
    <row r="86" spans="1:66" s="8" customFormat="1" ht="12.75" customHeight="1" x14ac:dyDescent="0.25">
      <c r="A86" s="90">
        <v>53</v>
      </c>
      <c r="B86" s="90">
        <v>53</v>
      </c>
      <c r="C86" s="90">
        <v>1</v>
      </c>
      <c r="D86" s="90" t="s">
        <v>148</v>
      </c>
      <c r="E86" s="91" t="s">
        <v>195</v>
      </c>
      <c r="F86" s="90" t="s">
        <v>16</v>
      </c>
      <c r="G86" s="90" t="s">
        <v>17</v>
      </c>
      <c r="H86" s="90" t="s">
        <v>150</v>
      </c>
      <c r="I86" s="92" t="s">
        <v>200</v>
      </c>
      <c r="J86" s="93">
        <v>45399</v>
      </c>
      <c r="K86" s="92" t="s">
        <v>122</v>
      </c>
      <c r="L86" s="92">
        <v>461000192</v>
      </c>
      <c r="M86" s="93">
        <v>45400</v>
      </c>
      <c r="N86" s="94">
        <v>45400.260416666664</v>
      </c>
      <c r="O86" s="94">
        <v>45400.260416666664</v>
      </c>
      <c r="P86" s="94">
        <v>45400.263888888891</v>
      </c>
      <c r="Q86" s="94">
        <v>45400.458333333336</v>
      </c>
      <c r="R86" s="114" t="s">
        <v>118</v>
      </c>
      <c r="S86" s="114" t="s">
        <v>118</v>
      </c>
      <c r="T86" s="114">
        <v>45400.479166666664</v>
      </c>
      <c r="U86" s="114">
        <v>45400.594444444447</v>
      </c>
      <c r="V86" s="95">
        <f t="shared" si="29"/>
        <v>0.19791666667151731</v>
      </c>
      <c r="W86" s="95">
        <v>0.20833333333333334</v>
      </c>
      <c r="X86" s="95" t="str">
        <f t="shared" si="30"/>
        <v>00:00</v>
      </c>
      <c r="Y86" s="96">
        <v>0</v>
      </c>
      <c r="Z86" s="96">
        <v>59</v>
      </c>
      <c r="AA86" s="96">
        <f t="shared" si="2"/>
        <v>59</v>
      </c>
      <c r="AB86" s="97">
        <f t="shared" si="3"/>
        <v>0</v>
      </c>
      <c r="AC86" s="97">
        <f t="shared" si="4"/>
        <v>4007.7500000000005</v>
      </c>
      <c r="AD86" s="98">
        <v>4007.75</v>
      </c>
      <c r="AE86" s="98">
        <v>4102.2</v>
      </c>
      <c r="AF86" s="98">
        <v>4104.8</v>
      </c>
      <c r="AG86" s="98">
        <f t="shared" si="5"/>
        <v>97.050000000000182</v>
      </c>
      <c r="AH86" s="99">
        <v>672.5</v>
      </c>
      <c r="AI86" s="100">
        <f t="shared" si="6"/>
        <v>2760478</v>
      </c>
      <c r="AJ86" s="100">
        <f t="shared" si="31"/>
        <v>0</v>
      </c>
      <c r="AK86" s="100">
        <v>0</v>
      </c>
      <c r="AL86" s="100">
        <v>0</v>
      </c>
      <c r="AM86" s="100">
        <v>0</v>
      </c>
      <c r="AN86" s="100">
        <v>0</v>
      </c>
      <c r="AO86" s="100">
        <v>0</v>
      </c>
      <c r="AP86" s="100">
        <f t="shared" si="28"/>
        <v>138024</v>
      </c>
      <c r="AQ86" s="101">
        <f t="shared" si="18"/>
        <v>2898502</v>
      </c>
      <c r="AR86" s="101">
        <v>0</v>
      </c>
      <c r="AS86" s="101">
        <v>0</v>
      </c>
      <c r="AT86" s="102" t="s">
        <v>33</v>
      </c>
      <c r="AU86" s="109" t="s">
        <v>118</v>
      </c>
      <c r="AV86" s="100">
        <v>0</v>
      </c>
      <c r="AW86" s="105"/>
      <c r="AX86" s="106">
        <f>IFERROR((AG86/AF86)*100, "")</f>
        <v>2.3643052036640073</v>
      </c>
      <c r="AY86" s="101">
        <f>ROUNDUP(AG86*AH86,0)</f>
        <v>65267</v>
      </c>
      <c r="AZ86" s="107"/>
      <c r="BA86" s="94">
        <v>45400.260416666664</v>
      </c>
      <c r="BB86" s="94">
        <v>45400.267361111109</v>
      </c>
      <c r="BC86" s="94">
        <v>45400.267361111109</v>
      </c>
      <c r="BD86" s="94">
        <v>45400.45</v>
      </c>
      <c r="BE86" s="95">
        <f>+BD86-BA86</f>
        <v>0.18958333333284827</v>
      </c>
      <c r="BF86" s="95">
        <v>5.486111111111111E-2</v>
      </c>
      <c r="BG86" s="95">
        <v>1.1805555555555555E-2</v>
      </c>
      <c r="BH86" s="95">
        <f t="shared" ref="BH86:BJ87" si="32">+BB86-BA86</f>
        <v>6.9444444452528842E-3</v>
      </c>
      <c r="BI86" s="95">
        <f t="shared" si="32"/>
        <v>0</v>
      </c>
      <c r="BJ86" s="95">
        <f t="shared" si="32"/>
        <v>0.18263888888759539</v>
      </c>
      <c r="BK86" s="95">
        <f>+BI86+BJ86</f>
        <v>0.18263888888759539</v>
      </c>
      <c r="BL86" s="95">
        <f>+BE86-BH86-BF86-BG86</f>
        <v>0.11597222222092872</v>
      </c>
      <c r="BM86" s="95" t="str">
        <f>IF(VALUE(BE86)&lt;=VALUE("05:00"),"00:00",VALUE(BE86)-VALUE("05:00"))</f>
        <v>00:00</v>
      </c>
      <c r="BN86" s="110"/>
    </row>
    <row r="87" spans="1:66" s="8" customFormat="1" ht="12.75" customHeight="1" x14ac:dyDescent="0.25">
      <c r="A87" s="115">
        <v>54</v>
      </c>
      <c r="B87" s="115">
        <v>54</v>
      </c>
      <c r="C87" s="115">
        <v>10</v>
      </c>
      <c r="D87" s="115" t="s">
        <v>113</v>
      </c>
      <c r="E87" s="91" t="s">
        <v>126</v>
      </c>
      <c r="F87" s="115" t="s">
        <v>32</v>
      </c>
      <c r="G87" s="115" t="s">
        <v>15</v>
      </c>
      <c r="H87" s="115" t="s">
        <v>201</v>
      </c>
      <c r="I87" s="116" t="s">
        <v>202</v>
      </c>
      <c r="J87" s="117">
        <v>45400</v>
      </c>
      <c r="K87" s="116" t="s">
        <v>117</v>
      </c>
      <c r="L87" s="116">
        <v>262009576</v>
      </c>
      <c r="M87" s="117">
        <v>45401</v>
      </c>
      <c r="N87" s="118">
        <v>45400.59375</v>
      </c>
      <c r="O87" s="118">
        <v>45400.59375</v>
      </c>
      <c r="P87" s="118">
        <v>45400.618055555555</v>
      </c>
      <c r="Q87" s="118">
        <v>45400.802083333336</v>
      </c>
      <c r="R87" s="118" t="s">
        <v>118</v>
      </c>
      <c r="S87" s="118">
        <v>45400.84375</v>
      </c>
      <c r="T87" s="118">
        <v>45400.916666666664</v>
      </c>
      <c r="U87" s="118">
        <v>45401.114583333336</v>
      </c>
      <c r="V87" s="119">
        <f t="shared" si="29"/>
        <v>0.20833333333575865</v>
      </c>
      <c r="W87" s="119">
        <v>0.20833333333333334</v>
      </c>
      <c r="X87" s="119">
        <f t="shared" si="30"/>
        <v>2.4253099528692701E-12</v>
      </c>
      <c r="Y87" s="96">
        <v>2</v>
      </c>
      <c r="Z87" s="96">
        <v>40</v>
      </c>
      <c r="AA87" s="96">
        <f t="shared" si="2"/>
        <v>42</v>
      </c>
      <c r="AB87" s="97">
        <f t="shared" si="3"/>
        <v>134.84</v>
      </c>
      <c r="AC87" s="97">
        <f t="shared" si="4"/>
        <v>2696.8</v>
      </c>
      <c r="AD87" s="98">
        <f>4061.39-1229.75</f>
        <v>2831.64</v>
      </c>
      <c r="AE87" s="98">
        <f>4099.4-1247.6</f>
        <v>2851.7999999999997</v>
      </c>
      <c r="AF87" s="98">
        <f>4116.6-1249.2</f>
        <v>2867.4000000000005</v>
      </c>
      <c r="AG87" s="98">
        <f t="shared" si="5"/>
        <v>35.760000000000673</v>
      </c>
      <c r="AH87" s="99">
        <v>2230.6999999999998</v>
      </c>
      <c r="AI87" s="100">
        <f t="shared" si="6"/>
        <v>6396309.1800000006</v>
      </c>
      <c r="AJ87" s="100">
        <f t="shared" si="31"/>
        <v>0</v>
      </c>
      <c r="AK87" s="100">
        <v>0</v>
      </c>
      <c r="AL87" s="100">
        <v>0</v>
      </c>
      <c r="AM87" s="100">
        <v>0</v>
      </c>
      <c r="AN87" s="100">
        <v>0</v>
      </c>
      <c r="AO87" s="100">
        <v>0</v>
      </c>
      <c r="AP87" s="100">
        <f t="shared" si="28"/>
        <v>319816</v>
      </c>
      <c r="AQ87" s="101">
        <f>ROUNDUP(SUM(AI87:AP87),0)-2</f>
        <v>6716124</v>
      </c>
      <c r="AR87" s="101">
        <v>0</v>
      </c>
      <c r="AS87" s="101">
        <v>0</v>
      </c>
      <c r="AT87" s="102" t="s">
        <v>33</v>
      </c>
      <c r="AU87" s="120">
        <v>10</v>
      </c>
      <c r="AV87" s="121">
        <v>7.5</v>
      </c>
      <c r="AW87" s="105"/>
      <c r="AX87" s="131">
        <f>IFERROR(((AG87+AG88)/(AF87+AF88))*100, "")</f>
        <v>1.3411553223534158</v>
      </c>
      <c r="AY87" s="132">
        <f>ROUNDUP((AG87+AG88)*AH87,0)</f>
        <v>123157</v>
      </c>
      <c r="AZ87" s="107"/>
      <c r="BA87" s="118">
        <v>45400.59375</v>
      </c>
      <c r="BB87" s="118">
        <v>45400.618055555555</v>
      </c>
      <c r="BC87" s="118">
        <v>45400.618055555555</v>
      </c>
      <c r="BD87" s="118">
        <v>45400.84652777778</v>
      </c>
      <c r="BE87" s="119">
        <f>+BD87-BA87</f>
        <v>0.25277777777955635</v>
      </c>
      <c r="BF87" s="119">
        <v>7.6388888888888886E-3</v>
      </c>
      <c r="BG87" s="119">
        <v>7.2222222222222215E-2</v>
      </c>
      <c r="BH87" s="119">
        <f t="shared" si="32"/>
        <v>2.4305555554747116E-2</v>
      </c>
      <c r="BI87" s="119">
        <f t="shared" si="32"/>
        <v>0</v>
      </c>
      <c r="BJ87" s="119">
        <f t="shared" si="32"/>
        <v>0.22847222222480923</v>
      </c>
      <c r="BK87" s="119">
        <f>+BI87+BJ87</f>
        <v>0.22847222222480923</v>
      </c>
      <c r="BL87" s="119">
        <f>+BE87-BH87-BF87-BG87</f>
        <v>0.14861111111369812</v>
      </c>
      <c r="BM87" s="119">
        <f>IF(VALUE(BE87)&lt;=VALUE("05:00"),"00:00",VALUE(BE87)-VALUE("05:00"))</f>
        <v>4.4444444446223003E-2</v>
      </c>
      <c r="BN87" s="110" t="s">
        <v>203</v>
      </c>
    </row>
    <row r="88" spans="1:66" s="8" customFormat="1" ht="12.75" customHeight="1" x14ac:dyDescent="0.25">
      <c r="A88" s="122"/>
      <c r="B88" s="122"/>
      <c r="C88" s="122">
        <v>32</v>
      </c>
      <c r="D88" s="122" t="s">
        <v>113</v>
      </c>
      <c r="E88" s="91" t="s">
        <v>204</v>
      </c>
      <c r="F88" s="122"/>
      <c r="G88" s="122" t="s">
        <v>8</v>
      </c>
      <c r="H88" s="122" t="s">
        <v>124</v>
      </c>
      <c r="I88" s="123"/>
      <c r="J88" s="124"/>
      <c r="K88" s="123" t="s">
        <v>117</v>
      </c>
      <c r="L88" s="123"/>
      <c r="M88" s="124"/>
      <c r="N88" s="125"/>
      <c r="O88" s="125"/>
      <c r="P88" s="125"/>
      <c r="Q88" s="125"/>
      <c r="R88" s="125"/>
      <c r="S88" s="125"/>
      <c r="T88" s="125"/>
      <c r="U88" s="125"/>
      <c r="V88" s="126">
        <f t="shared" si="29"/>
        <v>0</v>
      </c>
      <c r="W88" s="126">
        <v>0.20833333333333334</v>
      </c>
      <c r="X88" s="126" t="str">
        <f t="shared" si="30"/>
        <v>00:00</v>
      </c>
      <c r="Y88" s="96">
        <v>0</v>
      </c>
      <c r="Z88" s="96">
        <v>17</v>
      </c>
      <c r="AA88" s="96">
        <f t="shared" si="2"/>
        <v>17</v>
      </c>
      <c r="AB88" s="97">
        <f t="shared" si="3"/>
        <v>0</v>
      </c>
      <c r="AC88" s="97">
        <f t="shared" si="4"/>
        <v>1229.75</v>
      </c>
      <c r="AD88" s="98">
        <v>1229.75</v>
      </c>
      <c r="AE88" s="98">
        <v>1247.5999999999999</v>
      </c>
      <c r="AF88" s="98">
        <v>1249.2</v>
      </c>
      <c r="AG88" s="98">
        <f t="shared" si="5"/>
        <v>19.450000000000045</v>
      </c>
      <c r="AH88" s="99">
        <v>2230.6999999999998</v>
      </c>
      <c r="AI88" s="100">
        <f t="shared" si="6"/>
        <v>2786590.44</v>
      </c>
      <c r="AJ88" s="100">
        <f t="shared" si="31"/>
        <v>0</v>
      </c>
      <c r="AK88" s="100">
        <v>0</v>
      </c>
      <c r="AL88" s="100">
        <v>0</v>
      </c>
      <c r="AM88" s="100">
        <v>0</v>
      </c>
      <c r="AN88" s="100">
        <v>0</v>
      </c>
      <c r="AO88" s="100">
        <v>0</v>
      </c>
      <c r="AP88" s="100">
        <f t="shared" si="28"/>
        <v>139330</v>
      </c>
      <c r="AQ88" s="101">
        <f t="shared" ref="AQ88:AQ114" si="33">ROUNDUP(SUM(AI88:AP88),0)</f>
        <v>2925921</v>
      </c>
      <c r="AR88" s="101">
        <v>0</v>
      </c>
      <c r="AS88" s="101">
        <v>0</v>
      </c>
      <c r="AT88" s="102" t="s">
        <v>33</v>
      </c>
      <c r="AU88" s="127"/>
      <c r="AV88" s="128"/>
      <c r="AW88" s="105"/>
      <c r="AX88" s="133"/>
      <c r="AY88" s="134"/>
      <c r="AZ88" s="107"/>
      <c r="BA88" s="125"/>
      <c r="BB88" s="125"/>
      <c r="BC88" s="125"/>
      <c r="BD88" s="125"/>
      <c r="BE88" s="126"/>
      <c r="BF88" s="126"/>
      <c r="BG88" s="126"/>
      <c r="BH88" s="126"/>
      <c r="BI88" s="126"/>
      <c r="BJ88" s="126"/>
      <c r="BK88" s="126"/>
      <c r="BL88" s="126"/>
      <c r="BM88" s="126"/>
      <c r="BN88" s="110" t="s">
        <v>205</v>
      </c>
    </row>
    <row r="89" spans="1:66" s="8" customFormat="1" ht="12.75" customHeight="1" x14ac:dyDescent="0.25">
      <c r="A89" s="90">
        <v>55</v>
      </c>
      <c r="B89" s="90">
        <v>55</v>
      </c>
      <c r="C89" s="90">
        <v>2</v>
      </c>
      <c r="D89" s="90" t="s">
        <v>148</v>
      </c>
      <c r="E89" s="91" t="s">
        <v>195</v>
      </c>
      <c r="F89" s="90" t="s">
        <v>16</v>
      </c>
      <c r="G89" s="90" t="s">
        <v>17</v>
      </c>
      <c r="H89" s="90" t="s">
        <v>150</v>
      </c>
      <c r="I89" s="92" t="s">
        <v>206</v>
      </c>
      <c r="J89" s="93">
        <v>45399</v>
      </c>
      <c r="K89" s="92" t="s">
        <v>122</v>
      </c>
      <c r="L89" s="92">
        <v>461000193</v>
      </c>
      <c r="M89" s="93">
        <v>45401</v>
      </c>
      <c r="N89" s="94">
        <v>45401.052083333336</v>
      </c>
      <c r="O89" s="94">
        <v>45401.052083333336</v>
      </c>
      <c r="P89" s="94">
        <v>45401.059027777781</v>
      </c>
      <c r="Q89" s="94">
        <v>45401.25</v>
      </c>
      <c r="R89" s="94" t="s">
        <v>118</v>
      </c>
      <c r="S89" s="94" t="s">
        <v>118</v>
      </c>
      <c r="T89" s="94">
        <v>45401.270833333336</v>
      </c>
      <c r="U89" s="94">
        <v>45401.381944444445</v>
      </c>
      <c r="V89" s="95">
        <f t="shared" si="29"/>
        <v>0.19791666666424135</v>
      </c>
      <c r="W89" s="95">
        <v>0.20833333333333334</v>
      </c>
      <c r="X89" s="95" t="str">
        <f t="shared" si="30"/>
        <v>00:00</v>
      </c>
      <c r="Y89" s="96">
        <v>0</v>
      </c>
      <c r="Z89" s="96">
        <v>58</v>
      </c>
      <c r="AA89" s="96">
        <f t="shared" si="2"/>
        <v>58</v>
      </c>
      <c r="AB89" s="97">
        <f t="shared" si="3"/>
        <v>0</v>
      </c>
      <c r="AC89" s="97">
        <f t="shared" si="4"/>
        <v>3940.37</v>
      </c>
      <c r="AD89" s="98">
        <v>3940.37</v>
      </c>
      <c r="AE89" s="98">
        <v>4019.3</v>
      </c>
      <c r="AF89" s="98">
        <v>4023.2</v>
      </c>
      <c r="AG89" s="98">
        <f t="shared" si="5"/>
        <v>82.829999999999927</v>
      </c>
      <c r="AH89" s="99">
        <v>672.5</v>
      </c>
      <c r="AI89" s="100">
        <f t="shared" si="6"/>
        <v>2705602</v>
      </c>
      <c r="AJ89" s="100">
        <f t="shared" si="31"/>
        <v>0</v>
      </c>
      <c r="AK89" s="100">
        <v>0</v>
      </c>
      <c r="AL89" s="100">
        <v>24140</v>
      </c>
      <c r="AM89" s="100">
        <v>0</v>
      </c>
      <c r="AN89" s="100">
        <v>0</v>
      </c>
      <c r="AO89" s="100">
        <v>0</v>
      </c>
      <c r="AP89" s="100">
        <f t="shared" si="28"/>
        <v>136488</v>
      </c>
      <c r="AQ89" s="101">
        <f t="shared" si="33"/>
        <v>2866230</v>
      </c>
      <c r="AR89" s="101">
        <v>0</v>
      </c>
      <c r="AS89" s="101">
        <v>0</v>
      </c>
      <c r="AT89" s="102" t="s">
        <v>33</v>
      </c>
      <c r="AU89" s="109">
        <v>3</v>
      </c>
      <c r="AV89" s="104">
        <v>2.5</v>
      </c>
      <c r="AW89" s="105"/>
      <c r="AX89" s="106">
        <f t="shared" ref="AX89:AX114" si="34">IFERROR((AG89/AF89)*100, "")</f>
        <v>2.0588089083316747</v>
      </c>
      <c r="AY89" s="101">
        <f t="shared" ref="AY89:AY114" si="35">ROUNDUP(AG89*AH89,0)</f>
        <v>55704</v>
      </c>
      <c r="AZ89" s="107"/>
      <c r="BA89" s="94">
        <v>45401.052083333336</v>
      </c>
      <c r="BB89" s="94">
        <v>45401.059027777781</v>
      </c>
      <c r="BC89" s="94">
        <v>45401.059027777781</v>
      </c>
      <c r="BD89" s="94">
        <v>45401.201388888891</v>
      </c>
      <c r="BE89" s="95">
        <f t="shared" ref="BE89:BE115" si="36">+BD89-BA89</f>
        <v>0.14930555555474712</v>
      </c>
      <c r="BF89" s="95">
        <v>1.3194444444444444E-2</v>
      </c>
      <c r="BG89" s="95">
        <v>0</v>
      </c>
      <c r="BH89" s="95">
        <f t="shared" ref="BH89:BJ115" si="37">+BB89-BA89</f>
        <v>6.9444444452528842E-3</v>
      </c>
      <c r="BI89" s="95">
        <f t="shared" si="37"/>
        <v>0</v>
      </c>
      <c r="BJ89" s="95">
        <f t="shared" si="37"/>
        <v>0.14236111110949423</v>
      </c>
      <c r="BK89" s="95">
        <f t="shared" ref="BK89:BK115" si="38">+BI89+BJ89</f>
        <v>0.14236111110949423</v>
      </c>
      <c r="BL89" s="95">
        <f t="shared" ref="BL89:BL115" si="39">+BE89-BH89-BF89-BG89</f>
        <v>0.12916666666504978</v>
      </c>
      <c r="BM89" s="95" t="str">
        <f t="shared" ref="BM89:BM115" si="40">IF(VALUE(BE89)&lt;=VALUE("05:00"),"00:00",VALUE(BE89)-VALUE("05:00"))</f>
        <v>00:00</v>
      </c>
      <c r="BN89" s="110"/>
    </row>
    <row r="90" spans="1:66" s="8" customFormat="1" ht="12.75" customHeight="1" x14ac:dyDescent="0.25">
      <c r="A90" s="90">
        <v>56</v>
      </c>
      <c r="B90" s="90">
        <v>56</v>
      </c>
      <c r="C90" s="90">
        <v>9</v>
      </c>
      <c r="D90" s="90" t="s">
        <v>113</v>
      </c>
      <c r="E90" s="91" t="s">
        <v>156</v>
      </c>
      <c r="F90" s="90" t="s">
        <v>37</v>
      </c>
      <c r="G90" s="90" t="s">
        <v>8</v>
      </c>
      <c r="H90" s="90" t="s">
        <v>153</v>
      </c>
      <c r="I90" s="92" t="s">
        <v>207</v>
      </c>
      <c r="J90" s="93">
        <v>45397</v>
      </c>
      <c r="K90" s="92" t="s">
        <v>117</v>
      </c>
      <c r="L90" s="92">
        <v>482000341</v>
      </c>
      <c r="M90" s="93">
        <v>45402</v>
      </c>
      <c r="N90" s="94">
        <v>45401.333333333336</v>
      </c>
      <c r="O90" s="94">
        <v>45401.333333333336</v>
      </c>
      <c r="P90" s="94">
        <v>45401.347222222219</v>
      </c>
      <c r="Q90" s="94">
        <v>45401.541666666664</v>
      </c>
      <c r="R90" s="114">
        <v>45401.34375</v>
      </c>
      <c r="S90" s="114">
        <v>45401.59375</v>
      </c>
      <c r="T90" s="114">
        <v>45401.618055555555</v>
      </c>
      <c r="U90" s="114">
        <v>45401.71875</v>
      </c>
      <c r="V90" s="95">
        <f t="shared" si="29"/>
        <v>0.20833333332848269</v>
      </c>
      <c r="W90" s="95">
        <v>0.20833333333333334</v>
      </c>
      <c r="X90" s="95" t="str">
        <f t="shared" si="30"/>
        <v>00:00</v>
      </c>
      <c r="Y90" s="96">
        <v>0</v>
      </c>
      <c r="Z90" s="96">
        <v>59</v>
      </c>
      <c r="AA90" s="96">
        <f t="shared" si="2"/>
        <v>59</v>
      </c>
      <c r="AB90" s="97">
        <f t="shared" si="3"/>
        <v>0</v>
      </c>
      <c r="AC90" s="97">
        <f t="shared" si="4"/>
        <v>3891.0199999999995</v>
      </c>
      <c r="AD90" s="98">
        <v>3891.02</v>
      </c>
      <c r="AE90" s="98">
        <v>4107.5</v>
      </c>
      <c r="AF90" s="98">
        <v>4107.6000000000004</v>
      </c>
      <c r="AG90" s="98">
        <f t="shared" si="5"/>
        <v>216.58000000000038</v>
      </c>
      <c r="AH90" s="99">
        <v>1484</v>
      </c>
      <c r="AI90" s="100">
        <f t="shared" si="6"/>
        <v>6095678.4000000004</v>
      </c>
      <c r="AJ90" s="100">
        <f t="shared" si="31"/>
        <v>0</v>
      </c>
      <c r="AK90" s="100">
        <v>0</v>
      </c>
      <c r="AL90" s="100">
        <v>0</v>
      </c>
      <c r="AM90" s="100">
        <v>0</v>
      </c>
      <c r="AN90" s="100">
        <v>0</v>
      </c>
      <c r="AO90" s="100">
        <v>0</v>
      </c>
      <c r="AP90" s="100">
        <f t="shared" si="28"/>
        <v>304784</v>
      </c>
      <c r="AQ90" s="101">
        <f t="shared" si="33"/>
        <v>6400463</v>
      </c>
      <c r="AR90" s="101">
        <v>0</v>
      </c>
      <c r="AS90" s="101">
        <v>0</v>
      </c>
      <c r="AT90" s="102" t="s">
        <v>33</v>
      </c>
      <c r="AU90" s="109" t="s">
        <v>118</v>
      </c>
      <c r="AV90" s="100">
        <v>0</v>
      </c>
      <c r="AW90" s="105"/>
      <c r="AX90" s="106">
        <f t="shared" si="34"/>
        <v>5.2726653033401583</v>
      </c>
      <c r="AY90" s="101">
        <f t="shared" si="35"/>
        <v>321405</v>
      </c>
      <c r="AZ90" s="107"/>
      <c r="BA90" s="94">
        <v>45401.34375</v>
      </c>
      <c r="BB90" s="94">
        <v>45401.347222222219</v>
      </c>
      <c r="BC90" s="94">
        <v>45401.347222222219</v>
      </c>
      <c r="BD90" s="94">
        <v>45401.585416666669</v>
      </c>
      <c r="BE90" s="95">
        <f t="shared" si="36"/>
        <v>0.24166666666860692</v>
      </c>
      <c r="BF90" s="95">
        <v>4.3055555555555555E-2</v>
      </c>
      <c r="BG90" s="95">
        <v>7.7083333333333337E-2</v>
      </c>
      <c r="BH90" s="95">
        <f t="shared" si="37"/>
        <v>3.4722222189884633E-3</v>
      </c>
      <c r="BI90" s="95">
        <f t="shared" si="37"/>
        <v>0</v>
      </c>
      <c r="BJ90" s="95">
        <f t="shared" si="37"/>
        <v>0.23819444444961846</v>
      </c>
      <c r="BK90" s="95">
        <f t="shared" si="38"/>
        <v>0.23819444444961846</v>
      </c>
      <c r="BL90" s="95">
        <f t="shared" si="39"/>
        <v>0.11805555556072955</v>
      </c>
      <c r="BM90" s="95">
        <f t="shared" si="40"/>
        <v>3.3333333335273579E-2</v>
      </c>
      <c r="BN90" s="110"/>
    </row>
    <row r="91" spans="1:66" s="8" customFormat="1" ht="12.75" customHeight="1" x14ac:dyDescent="0.25">
      <c r="A91" s="90">
        <v>57</v>
      </c>
      <c r="B91" s="90">
        <v>57</v>
      </c>
      <c r="C91" s="90">
        <v>3</v>
      </c>
      <c r="D91" s="90" t="s">
        <v>148</v>
      </c>
      <c r="E91" s="91" t="s">
        <v>195</v>
      </c>
      <c r="F91" s="90" t="s">
        <v>16</v>
      </c>
      <c r="G91" s="90" t="s">
        <v>17</v>
      </c>
      <c r="H91" s="90" t="s">
        <v>150</v>
      </c>
      <c r="I91" s="92" t="s">
        <v>208</v>
      </c>
      <c r="J91" s="93">
        <v>45400</v>
      </c>
      <c r="K91" s="92" t="s">
        <v>122</v>
      </c>
      <c r="L91" s="92">
        <v>461000194</v>
      </c>
      <c r="M91" s="93">
        <v>45401</v>
      </c>
      <c r="N91" s="94">
        <v>45401.458333333336</v>
      </c>
      <c r="O91" s="94">
        <v>45401.458333333336</v>
      </c>
      <c r="P91" s="94">
        <v>45401.461805555555</v>
      </c>
      <c r="Q91" s="94">
        <v>45401.666666666664</v>
      </c>
      <c r="R91" s="114" t="s">
        <v>118</v>
      </c>
      <c r="S91" s="114">
        <v>45401.8125</v>
      </c>
      <c r="T91" s="114">
        <v>45401.822916666664</v>
      </c>
      <c r="U91" s="114">
        <v>45401.935416666667</v>
      </c>
      <c r="V91" s="95">
        <f t="shared" si="29"/>
        <v>0.20833333332848269</v>
      </c>
      <c r="W91" s="95">
        <v>0.20833333333333334</v>
      </c>
      <c r="X91" s="95" t="str">
        <f t="shared" si="30"/>
        <v>00:00</v>
      </c>
      <c r="Y91" s="96">
        <v>0</v>
      </c>
      <c r="Z91" s="96">
        <v>59</v>
      </c>
      <c r="AA91" s="96">
        <f t="shared" si="2"/>
        <v>59</v>
      </c>
      <c r="AB91" s="97">
        <f t="shared" si="3"/>
        <v>0</v>
      </c>
      <c r="AC91" s="97">
        <f t="shared" si="4"/>
        <v>4061.1899999999996</v>
      </c>
      <c r="AD91" s="98">
        <v>4061.19</v>
      </c>
      <c r="AE91" s="98">
        <v>4110.7</v>
      </c>
      <c r="AF91" s="98">
        <v>4117.8</v>
      </c>
      <c r="AG91" s="98">
        <f t="shared" si="5"/>
        <v>56.610000000000127</v>
      </c>
      <c r="AH91" s="99">
        <v>672.5</v>
      </c>
      <c r="AI91" s="100">
        <f t="shared" si="6"/>
        <v>2769220.5</v>
      </c>
      <c r="AJ91" s="100">
        <f>(0.6*AH91)*2</f>
        <v>807</v>
      </c>
      <c r="AK91" s="100">
        <v>0</v>
      </c>
      <c r="AL91" s="100">
        <v>0</v>
      </c>
      <c r="AM91" s="100">
        <v>0</v>
      </c>
      <c r="AN91" s="100">
        <v>0</v>
      </c>
      <c r="AO91" s="100">
        <v>0</v>
      </c>
      <c r="AP91" s="100">
        <f t="shared" si="28"/>
        <v>138502</v>
      </c>
      <c r="AQ91" s="101">
        <f t="shared" si="33"/>
        <v>2908530</v>
      </c>
      <c r="AR91" s="101">
        <v>0</v>
      </c>
      <c r="AS91" s="101">
        <v>0</v>
      </c>
      <c r="AT91" s="102" t="s">
        <v>33</v>
      </c>
      <c r="AU91" s="109" t="s">
        <v>118</v>
      </c>
      <c r="AV91" s="100">
        <v>0</v>
      </c>
      <c r="AW91" s="105"/>
      <c r="AX91" s="106">
        <f t="shared" si="34"/>
        <v>1.3747632230802886</v>
      </c>
      <c r="AY91" s="101">
        <f t="shared" si="35"/>
        <v>38071</v>
      </c>
      <c r="AZ91" s="107"/>
      <c r="BA91" s="94">
        <v>45401.458333333336</v>
      </c>
      <c r="BB91" s="94">
        <v>45401.461805555555</v>
      </c>
      <c r="BC91" s="94">
        <v>45401.627083333333</v>
      </c>
      <c r="BD91" s="94">
        <v>45401.805555555555</v>
      </c>
      <c r="BE91" s="95">
        <f t="shared" si="36"/>
        <v>0.34722222221898846</v>
      </c>
      <c r="BF91" s="95">
        <v>7.4305555555555555E-2</v>
      </c>
      <c r="BG91" s="95">
        <v>0.14166666666666666</v>
      </c>
      <c r="BH91" s="95">
        <f t="shared" si="37"/>
        <v>3.4722222189884633E-3</v>
      </c>
      <c r="BI91" s="95">
        <f t="shared" si="37"/>
        <v>0.16527777777810115</v>
      </c>
      <c r="BJ91" s="95">
        <f t="shared" si="37"/>
        <v>0.17847222222189885</v>
      </c>
      <c r="BK91" s="95">
        <f t="shared" si="38"/>
        <v>0.34375</v>
      </c>
      <c r="BL91" s="95">
        <f t="shared" si="39"/>
        <v>0.12777777777777777</v>
      </c>
      <c r="BM91" s="95">
        <f t="shared" si="40"/>
        <v>0.13888888888565512</v>
      </c>
      <c r="BN91" s="110"/>
    </row>
    <row r="92" spans="1:66" s="8" customFormat="1" ht="12.75" customHeight="1" x14ac:dyDescent="0.25">
      <c r="A92" s="90">
        <v>58</v>
      </c>
      <c r="B92" s="90">
        <v>58</v>
      </c>
      <c r="C92" s="90">
        <v>11</v>
      </c>
      <c r="D92" s="90" t="s">
        <v>113</v>
      </c>
      <c r="E92" s="91" t="s">
        <v>204</v>
      </c>
      <c r="F92" s="90" t="s">
        <v>32</v>
      </c>
      <c r="G92" s="90" t="s">
        <v>15</v>
      </c>
      <c r="H92" s="90" t="s">
        <v>146</v>
      </c>
      <c r="I92" s="92" t="s">
        <v>209</v>
      </c>
      <c r="J92" s="93">
        <v>45400</v>
      </c>
      <c r="K92" s="92" t="s">
        <v>117</v>
      </c>
      <c r="L92" s="92">
        <v>261005708</v>
      </c>
      <c r="M92" s="93">
        <v>45402</v>
      </c>
      <c r="N92" s="94">
        <v>45401.770833333336</v>
      </c>
      <c r="O92" s="94">
        <v>45401.770833333336</v>
      </c>
      <c r="P92" s="94">
        <v>45401.774305555555</v>
      </c>
      <c r="Q92" s="94">
        <v>45401.979166666664</v>
      </c>
      <c r="R92" s="114" t="s">
        <v>118</v>
      </c>
      <c r="S92" s="114">
        <v>45402.048611111109</v>
      </c>
      <c r="T92" s="114">
        <v>45402.0625</v>
      </c>
      <c r="U92" s="114">
        <v>45402.177083333336</v>
      </c>
      <c r="V92" s="95">
        <f t="shared" si="29"/>
        <v>0.20833333332848269</v>
      </c>
      <c r="W92" s="95">
        <v>0.20833333333333334</v>
      </c>
      <c r="X92" s="95" t="str">
        <f t="shared" si="30"/>
        <v>00:00</v>
      </c>
      <c r="Y92" s="96">
        <v>1</v>
      </c>
      <c r="Z92" s="96">
        <v>57</v>
      </c>
      <c r="AA92" s="96">
        <f t="shared" si="2"/>
        <v>58</v>
      </c>
      <c r="AB92" s="97">
        <f t="shared" si="3"/>
        <v>68.72275862068966</v>
      </c>
      <c r="AC92" s="97">
        <f t="shared" si="4"/>
        <v>3917.1972413793105</v>
      </c>
      <c r="AD92" s="98">
        <v>3985.92</v>
      </c>
      <c r="AE92" s="98">
        <v>4036.7</v>
      </c>
      <c r="AF92" s="98">
        <v>4050.2</v>
      </c>
      <c r="AG92" s="98">
        <f t="shared" si="5"/>
        <v>64.279999999999745</v>
      </c>
      <c r="AH92" s="99">
        <v>1398.7</v>
      </c>
      <c r="AI92" s="100">
        <f t="shared" si="6"/>
        <v>5665014.7400000002</v>
      </c>
      <c r="AJ92" s="100">
        <f t="shared" ref="AJ92:AJ102" si="41">(0*AH92)*2</f>
        <v>0</v>
      </c>
      <c r="AK92" s="100">
        <v>0</v>
      </c>
      <c r="AL92" s="100">
        <v>48430</v>
      </c>
      <c r="AM92" s="100">
        <v>0</v>
      </c>
      <c r="AN92" s="100">
        <v>0</v>
      </c>
      <c r="AO92" s="100">
        <v>0</v>
      </c>
      <c r="AP92" s="100">
        <f t="shared" si="28"/>
        <v>285673</v>
      </c>
      <c r="AQ92" s="101">
        <f t="shared" si="33"/>
        <v>5999118</v>
      </c>
      <c r="AR92" s="101">
        <v>0</v>
      </c>
      <c r="AS92" s="101">
        <v>0</v>
      </c>
      <c r="AT92" s="102" t="s">
        <v>33</v>
      </c>
      <c r="AU92" s="109">
        <v>6</v>
      </c>
      <c r="AV92" s="100">
        <v>4.5</v>
      </c>
      <c r="AW92" s="105"/>
      <c r="AX92" s="106">
        <f t="shared" si="34"/>
        <v>1.5870821194015048</v>
      </c>
      <c r="AY92" s="101">
        <f t="shared" si="35"/>
        <v>89909</v>
      </c>
      <c r="AZ92" s="107"/>
      <c r="BA92" s="94">
        <v>45401.770833333336</v>
      </c>
      <c r="BB92" s="94">
        <v>45401.774305555555</v>
      </c>
      <c r="BC92" s="94">
        <v>45401.859027777777</v>
      </c>
      <c r="BD92" s="94">
        <v>45402.038888888892</v>
      </c>
      <c r="BE92" s="95">
        <f t="shared" si="36"/>
        <v>0.26805555555620231</v>
      </c>
      <c r="BF92" s="95">
        <v>4.027777777777778E-2</v>
      </c>
      <c r="BG92" s="95">
        <v>0.11180555555555556</v>
      </c>
      <c r="BH92" s="95">
        <f t="shared" si="37"/>
        <v>3.4722222189884633E-3</v>
      </c>
      <c r="BI92" s="95">
        <f t="shared" si="37"/>
        <v>8.4722222221898846E-2</v>
      </c>
      <c r="BJ92" s="95">
        <f t="shared" si="37"/>
        <v>0.179861111115315</v>
      </c>
      <c r="BK92" s="95">
        <f t="shared" si="38"/>
        <v>0.26458333333721384</v>
      </c>
      <c r="BL92" s="95">
        <f t="shared" si="39"/>
        <v>0.11250000000388051</v>
      </c>
      <c r="BM92" s="95">
        <f t="shared" si="40"/>
        <v>5.9722222222868965E-2</v>
      </c>
      <c r="BN92" s="110"/>
    </row>
    <row r="93" spans="1:66" s="8" customFormat="1" ht="12.75" customHeight="1" x14ac:dyDescent="0.25">
      <c r="A93" s="90">
        <v>59</v>
      </c>
      <c r="B93" s="90">
        <v>59</v>
      </c>
      <c r="C93" s="90">
        <v>3</v>
      </c>
      <c r="D93" s="90" t="s">
        <v>113</v>
      </c>
      <c r="E93" s="91" t="s">
        <v>114</v>
      </c>
      <c r="F93" s="90" t="s">
        <v>39</v>
      </c>
      <c r="G93" s="90" t="s">
        <v>12</v>
      </c>
      <c r="H93" s="90" t="s">
        <v>115</v>
      </c>
      <c r="I93" s="92" t="s">
        <v>210</v>
      </c>
      <c r="J93" s="93">
        <v>45400</v>
      </c>
      <c r="K93" s="92" t="s">
        <v>122</v>
      </c>
      <c r="L93" s="92">
        <v>282000891</v>
      </c>
      <c r="M93" s="93">
        <v>45402</v>
      </c>
      <c r="N93" s="94">
        <v>45402.166666666664</v>
      </c>
      <c r="O93" s="94">
        <v>45402.166666666664</v>
      </c>
      <c r="P93" s="94">
        <v>45402.173611111109</v>
      </c>
      <c r="Q93" s="94">
        <v>45402.375</v>
      </c>
      <c r="R93" s="114" t="s">
        <v>118</v>
      </c>
      <c r="S93" s="114" t="s">
        <v>118</v>
      </c>
      <c r="T93" s="114">
        <v>45402.416666666664</v>
      </c>
      <c r="U93" s="114">
        <v>45402.597916666666</v>
      </c>
      <c r="V93" s="95">
        <f t="shared" si="29"/>
        <v>0.20833333333575865</v>
      </c>
      <c r="W93" s="95">
        <v>0.20833333333333334</v>
      </c>
      <c r="X93" s="95">
        <f t="shared" si="30"/>
        <v>2.4253099528692701E-12</v>
      </c>
      <c r="Y93" s="96">
        <v>0</v>
      </c>
      <c r="Z93" s="96">
        <v>59</v>
      </c>
      <c r="AA93" s="96">
        <f t="shared" si="2"/>
        <v>59</v>
      </c>
      <c r="AB93" s="97">
        <f t="shared" si="3"/>
        <v>0</v>
      </c>
      <c r="AC93" s="97">
        <f t="shared" si="4"/>
        <v>3966.5499999999997</v>
      </c>
      <c r="AD93" s="98">
        <v>3966.55</v>
      </c>
      <c r="AE93" s="98">
        <v>4087.5</v>
      </c>
      <c r="AF93" s="98">
        <v>4094.8</v>
      </c>
      <c r="AG93" s="98">
        <f t="shared" si="5"/>
        <v>128.25</v>
      </c>
      <c r="AH93" s="99">
        <v>1586.7</v>
      </c>
      <c r="AI93" s="100">
        <f t="shared" si="6"/>
        <v>6497219.1600000001</v>
      </c>
      <c r="AJ93" s="100">
        <f t="shared" si="41"/>
        <v>0</v>
      </c>
      <c r="AK93" s="100">
        <v>0</v>
      </c>
      <c r="AL93" s="100">
        <v>24290</v>
      </c>
      <c r="AM93" s="100">
        <v>0</v>
      </c>
      <c r="AN93" s="100">
        <v>0</v>
      </c>
      <c r="AO93" s="100">
        <f>IFERROR(AF93*20+(((AJ93/AH93)/2)*20),0)</f>
        <v>81896</v>
      </c>
      <c r="AP93" s="100">
        <f t="shared" si="28"/>
        <v>330171</v>
      </c>
      <c r="AQ93" s="101">
        <f t="shared" si="33"/>
        <v>6933577</v>
      </c>
      <c r="AR93" s="101">
        <v>0</v>
      </c>
      <c r="AS93" s="101">
        <v>0</v>
      </c>
      <c r="AT93" s="102" t="s">
        <v>33</v>
      </c>
      <c r="AU93" s="109">
        <v>2</v>
      </c>
      <c r="AV93" s="100">
        <v>2.5</v>
      </c>
      <c r="AW93" s="105"/>
      <c r="AX93" s="106">
        <f t="shared" si="34"/>
        <v>3.1320210999316207</v>
      </c>
      <c r="AY93" s="101">
        <f t="shared" si="35"/>
        <v>203495</v>
      </c>
      <c r="AZ93" s="107"/>
      <c r="BA93" s="94">
        <v>45402.166666666664</v>
      </c>
      <c r="BB93" s="94">
        <v>45402.173611111109</v>
      </c>
      <c r="BC93" s="94">
        <v>45402.1875</v>
      </c>
      <c r="BD93" s="94">
        <v>45402.375</v>
      </c>
      <c r="BE93" s="95">
        <f t="shared" si="36"/>
        <v>0.20833333333575865</v>
      </c>
      <c r="BF93" s="95">
        <v>0</v>
      </c>
      <c r="BG93" s="95">
        <v>1.3888888888888888E-2</v>
      </c>
      <c r="BH93" s="95">
        <f t="shared" si="37"/>
        <v>6.9444444452528842E-3</v>
      </c>
      <c r="BI93" s="95">
        <f t="shared" si="37"/>
        <v>1.3888888890505768E-2</v>
      </c>
      <c r="BJ93" s="95">
        <f t="shared" si="37"/>
        <v>0.1875</v>
      </c>
      <c r="BK93" s="95">
        <f t="shared" si="38"/>
        <v>0.20138888889050577</v>
      </c>
      <c r="BL93" s="95">
        <f t="shared" si="39"/>
        <v>0.18750000000161687</v>
      </c>
      <c r="BM93" s="95">
        <f t="shared" si="40"/>
        <v>2.4253099528692701E-12</v>
      </c>
      <c r="BN93" s="110"/>
    </row>
    <row r="94" spans="1:66" s="8" customFormat="1" ht="12.75" customHeight="1" x14ac:dyDescent="0.25">
      <c r="A94" s="90">
        <v>60</v>
      </c>
      <c r="B94" s="90">
        <v>60</v>
      </c>
      <c r="C94" s="90">
        <v>4</v>
      </c>
      <c r="D94" s="90" t="s">
        <v>148</v>
      </c>
      <c r="E94" s="91" t="s">
        <v>195</v>
      </c>
      <c r="F94" s="90" t="s">
        <v>16</v>
      </c>
      <c r="G94" s="90" t="s">
        <v>17</v>
      </c>
      <c r="H94" s="90" t="s">
        <v>150</v>
      </c>
      <c r="I94" s="92" t="s">
        <v>211</v>
      </c>
      <c r="J94" s="93">
        <v>45400</v>
      </c>
      <c r="K94" s="92" t="s">
        <v>117</v>
      </c>
      <c r="L94" s="92">
        <v>461000195</v>
      </c>
      <c r="M94" s="93">
        <v>45402</v>
      </c>
      <c r="N94" s="94">
        <v>45402.291666666664</v>
      </c>
      <c r="O94" s="94">
        <v>45402.291666666664</v>
      </c>
      <c r="P94" s="94">
        <v>45402.295138888891</v>
      </c>
      <c r="Q94" s="94">
        <v>45402.5</v>
      </c>
      <c r="R94" s="114" t="s">
        <v>118</v>
      </c>
      <c r="S94" s="114">
        <v>45402.527777777781</v>
      </c>
      <c r="T94" s="114">
        <v>45402.645833333336</v>
      </c>
      <c r="U94" s="114">
        <v>45402.734027777777</v>
      </c>
      <c r="V94" s="95">
        <f t="shared" si="29"/>
        <v>0.20833333333575865</v>
      </c>
      <c r="W94" s="95">
        <v>0.20833333333333334</v>
      </c>
      <c r="X94" s="95">
        <f t="shared" si="30"/>
        <v>2.4253099528692701E-12</v>
      </c>
      <c r="Y94" s="96">
        <v>0</v>
      </c>
      <c r="Z94" s="96">
        <v>58</v>
      </c>
      <c r="AA94" s="96">
        <f t="shared" si="2"/>
        <v>58</v>
      </c>
      <c r="AB94" s="97">
        <f t="shared" si="3"/>
        <v>0</v>
      </c>
      <c r="AC94" s="97">
        <f t="shared" si="4"/>
        <v>3912.4700000000003</v>
      </c>
      <c r="AD94" s="98">
        <v>3912.47</v>
      </c>
      <c r="AE94" s="98">
        <v>4031.6</v>
      </c>
      <c r="AF94" s="98">
        <v>4031.6</v>
      </c>
      <c r="AG94" s="98">
        <f t="shared" si="5"/>
        <v>119.13000000000011</v>
      </c>
      <c r="AH94" s="99">
        <v>672.5</v>
      </c>
      <c r="AI94" s="100">
        <f t="shared" si="6"/>
        <v>2711251</v>
      </c>
      <c r="AJ94" s="100">
        <f t="shared" si="41"/>
        <v>0</v>
      </c>
      <c r="AK94" s="100">
        <v>0</v>
      </c>
      <c r="AL94" s="100">
        <v>0</v>
      </c>
      <c r="AM94" s="100">
        <v>0</v>
      </c>
      <c r="AN94" s="100">
        <v>0</v>
      </c>
      <c r="AO94" s="100">
        <v>0</v>
      </c>
      <c r="AP94" s="100">
        <f t="shared" si="28"/>
        <v>135563</v>
      </c>
      <c r="AQ94" s="101">
        <f t="shared" si="33"/>
        <v>2846814</v>
      </c>
      <c r="AR94" s="101">
        <v>0</v>
      </c>
      <c r="AS94" s="101">
        <v>0</v>
      </c>
      <c r="AT94" s="102" t="s">
        <v>33</v>
      </c>
      <c r="AU94" s="109" t="s">
        <v>118</v>
      </c>
      <c r="AV94" s="100">
        <v>0</v>
      </c>
      <c r="AW94" s="105"/>
      <c r="AX94" s="106">
        <f t="shared" si="34"/>
        <v>2.9549062406984845</v>
      </c>
      <c r="AY94" s="101">
        <f t="shared" si="35"/>
        <v>80115</v>
      </c>
      <c r="AZ94" s="107"/>
      <c r="BA94" s="94">
        <v>45402.291666666664</v>
      </c>
      <c r="BB94" s="94">
        <v>45402.295138888891</v>
      </c>
      <c r="BC94" s="94">
        <v>45402.40625</v>
      </c>
      <c r="BD94" s="94">
        <v>45402.520833333336</v>
      </c>
      <c r="BE94" s="95">
        <f t="shared" si="36"/>
        <v>0.22916666667151731</v>
      </c>
      <c r="BF94" s="95">
        <v>2.0833333333333332E-2</v>
      </c>
      <c r="BG94" s="95">
        <v>9.0277777777777776E-2</v>
      </c>
      <c r="BH94" s="95">
        <f t="shared" si="37"/>
        <v>3.4722222262644209E-3</v>
      </c>
      <c r="BI94" s="95">
        <f t="shared" si="37"/>
        <v>0.11111111110949423</v>
      </c>
      <c r="BJ94" s="95">
        <f t="shared" si="37"/>
        <v>0.11458333333575865</v>
      </c>
      <c r="BK94" s="95">
        <f t="shared" si="38"/>
        <v>0.22569444444525288</v>
      </c>
      <c r="BL94" s="95">
        <f t="shared" si="39"/>
        <v>0.11458333333414177</v>
      </c>
      <c r="BM94" s="95">
        <f t="shared" si="40"/>
        <v>2.0833333338183962E-2</v>
      </c>
      <c r="BN94" s="110"/>
    </row>
    <row r="95" spans="1:66" s="8" customFormat="1" ht="12.75" customHeight="1" x14ac:dyDescent="0.25">
      <c r="A95" s="90">
        <v>61</v>
      </c>
      <c r="B95" s="90">
        <v>61</v>
      </c>
      <c r="C95" s="90">
        <v>5</v>
      </c>
      <c r="D95" s="90" t="s">
        <v>148</v>
      </c>
      <c r="E95" s="91" t="s">
        <v>195</v>
      </c>
      <c r="F95" s="90" t="s">
        <v>16</v>
      </c>
      <c r="G95" s="90" t="s">
        <v>17</v>
      </c>
      <c r="H95" s="90" t="s">
        <v>150</v>
      </c>
      <c r="I95" s="92" t="s">
        <v>212</v>
      </c>
      <c r="J95" s="93">
        <v>45400</v>
      </c>
      <c r="K95" s="92" t="s">
        <v>122</v>
      </c>
      <c r="L95" s="92">
        <v>461000196</v>
      </c>
      <c r="M95" s="93">
        <v>45403</v>
      </c>
      <c r="N95" s="94">
        <v>45402.604166666664</v>
      </c>
      <c r="O95" s="94">
        <v>45402.604166666664</v>
      </c>
      <c r="P95" s="94">
        <v>45402.659722222219</v>
      </c>
      <c r="Q95" s="94">
        <v>45402.802083333336</v>
      </c>
      <c r="R95" s="114">
        <v>45402.65625</v>
      </c>
      <c r="S95" s="114" t="s">
        <v>118</v>
      </c>
      <c r="T95" s="114">
        <v>45402.840277777781</v>
      </c>
      <c r="U95" s="114">
        <v>45402.988888888889</v>
      </c>
      <c r="V95" s="95">
        <f t="shared" si="29"/>
        <v>0.19791666667151731</v>
      </c>
      <c r="W95" s="95">
        <v>0.20833333333333334</v>
      </c>
      <c r="X95" s="95" t="str">
        <f t="shared" si="30"/>
        <v>00:00</v>
      </c>
      <c r="Y95" s="96">
        <v>0</v>
      </c>
      <c r="Z95" s="96">
        <v>57</v>
      </c>
      <c r="AA95" s="96">
        <f t="shared" ref="AA95:AA158" si="42">+Y95+Z95</f>
        <v>57</v>
      </c>
      <c r="AB95" s="97">
        <f t="shared" ref="AB95:AB158" si="43">+AD95/AA95*Y95</f>
        <v>0</v>
      </c>
      <c r="AC95" s="97">
        <f t="shared" ref="AC95:AC158" si="44">+AD95/AA95*Z95</f>
        <v>3882.8099999999995</v>
      </c>
      <c r="AD95" s="98">
        <v>3882.81</v>
      </c>
      <c r="AE95" s="98">
        <v>3968</v>
      </c>
      <c r="AF95" s="98">
        <v>3969.2</v>
      </c>
      <c r="AG95" s="98">
        <f t="shared" ref="AG95:AG158" si="45">+AF95-AD95</f>
        <v>86.389999999999873</v>
      </c>
      <c r="AH95" s="99">
        <v>672.5</v>
      </c>
      <c r="AI95" s="100">
        <f t="shared" ref="AI95:AI158" si="46">+AF95*AH95</f>
        <v>2669287</v>
      </c>
      <c r="AJ95" s="100">
        <f t="shared" si="41"/>
        <v>0</v>
      </c>
      <c r="AK95" s="100">
        <v>0</v>
      </c>
      <c r="AL95" s="100">
        <v>0</v>
      </c>
      <c r="AM95" s="100">
        <v>0</v>
      </c>
      <c r="AN95" s="100">
        <v>0</v>
      </c>
      <c r="AO95" s="100">
        <v>0</v>
      </c>
      <c r="AP95" s="100">
        <f t="shared" ref="AP95:AP126" si="47">ROUNDUP(SUM(AI95:AO95)*5%,0)</f>
        <v>133465</v>
      </c>
      <c r="AQ95" s="101">
        <f t="shared" si="33"/>
        <v>2802752</v>
      </c>
      <c r="AR95" s="101">
        <v>0</v>
      </c>
      <c r="AS95" s="101">
        <v>0</v>
      </c>
      <c r="AT95" s="102" t="s">
        <v>33</v>
      </c>
      <c r="AU95" s="109" t="s">
        <v>118</v>
      </c>
      <c r="AV95" s="100">
        <v>0</v>
      </c>
      <c r="AW95" s="105"/>
      <c r="AX95" s="106">
        <f t="shared" si="34"/>
        <v>2.176509120225735</v>
      </c>
      <c r="AY95" s="101">
        <f t="shared" si="35"/>
        <v>58098</v>
      </c>
      <c r="AZ95" s="107"/>
      <c r="BA95" s="94">
        <v>45402.65625</v>
      </c>
      <c r="BB95" s="94">
        <v>45402.659722222219</v>
      </c>
      <c r="BC95" s="94">
        <v>45402.659722222219</v>
      </c>
      <c r="BD95" s="94">
        <v>45402.790972222225</v>
      </c>
      <c r="BE95" s="95">
        <f t="shared" si="36"/>
        <v>0.13472222222480923</v>
      </c>
      <c r="BF95" s="95">
        <v>1.5277777777777777E-2</v>
      </c>
      <c r="BG95" s="95">
        <v>2.0833333333333333E-3</v>
      </c>
      <c r="BH95" s="95">
        <f t="shared" si="37"/>
        <v>3.4722222189884633E-3</v>
      </c>
      <c r="BI95" s="95">
        <f t="shared" si="37"/>
        <v>0</v>
      </c>
      <c r="BJ95" s="95">
        <f t="shared" si="37"/>
        <v>0.13125000000582077</v>
      </c>
      <c r="BK95" s="95">
        <f t="shared" si="38"/>
        <v>0.13125000000582077</v>
      </c>
      <c r="BL95" s="95">
        <f t="shared" si="39"/>
        <v>0.11388888889470965</v>
      </c>
      <c r="BM95" s="95" t="str">
        <f t="shared" si="40"/>
        <v>00:00</v>
      </c>
      <c r="BN95" s="110"/>
    </row>
    <row r="96" spans="1:66" s="8" customFormat="1" ht="12.75" customHeight="1" x14ac:dyDescent="0.25">
      <c r="A96" s="90">
        <v>62</v>
      </c>
      <c r="B96" s="90">
        <v>62</v>
      </c>
      <c r="C96" s="90">
        <v>12</v>
      </c>
      <c r="D96" s="90" t="s">
        <v>113</v>
      </c>
      <c r="E96" s="91" t="s">
        <v>204</v>
      </c>
      <c r="F96" s="90" t="s">
        <v>32</v>
      </c>
      <c r="G96" s="90" t="s">
        <v>15</v>
      </c>
      <c r="H96" s="90" t="s">
        <v>213</v>
      </c>
      <c r="I96" s="92" t="s">
        <v>214</v>
      </c>
      <c r="J96" s="93">
        <v>45401</v>
      </c>
      <c r="K96" s="92" t="s">
        <v>117</v>
      </c>
      <c r="L96" s="92">
        <v>262009586</v>
      </c>
      <c r="M96" s="93">
        <v>45403</v>
      </c>
      <c r="N96" s="94">
        <v>45402.791666666664</v>
      </c>
      <c r="O96" s="94">
        <v>45402.791666666664</v>
      </c>
      <c r="P96" s="94">
        <v>45402.795138888891</v>
      </c>
      <c r="Q96" s="94">
        <v>45402.993055555555</v>
      </c>
      <c r="R96" s="114" t="s">
        <v>118</v>
      </c>
      <c r="S96" s="114" t="s">
        <v>118</v>
      </c>
      <c r="T96" s="114">
        <v>45403.055555555555</v>
      </c>
      <c r="U96" s="114">
        <v>45403.197916666664</v>
      </c>
      <c r="V96" s="95">
        <f t="shared" si="29"/>
        <v>0.20138888889050577</v>
      </c>
      <c r="W96" s="95">
        <v>0.20833333333333334</v>
      </c>
      <c r="X96" s="95" t="str">
        <f t="shared" si="30"/>
        <v>00:00</v>
      </c>
      <c r="Y96" s="96">
        <v>1</v>
      </c>
      <c r="Z96" s="96">
        <v>57</v>
      </c>
      <c r="AA96" s="96">
        <f t="shared" si="42"/>
        <v>58</v>
      </c>
      <c r="AB96" s="97">
        <f t="shared" si="43"/>
        <v>68.418965517241389</v>
      </c>
      <c r="AC96" s="97">
        <f t="shared" si="44"/>
        <v>3899.8810344827593</v>
      </c>
      <c r="AD96" s="98">
        <v>3968.3</v>
      </c>
      <c r="AE96" s="98">
        <v>4022.8</v>
      </c>
      <c r="AF96" s="98">
        <v>4028</v>
      </c>
      <c r="AG96" s="98">
        <f t="shared" si="45"/>
        <v>59.699999999999818</v>
      </c>
      <c r="AH96" s="99">
        <v>2329.4</v>
      </c>
      <c r="AI96" s="100">
        <f t="shared" si="46"/>
        <v>9382823.2000000011</v>
      </c>
      <c r="AJ96" s="100">
        <f t="shared" si="41"/>
        <v>0</v>
      </c>
      <c r="AK96" s="100">
        <v>0</v>
      </c>
      <c r="AL96" s="100">
        <v>24140</v>
      </c>
      <c r="AM96" s="100">
        <v>0</v>
      </c>
      <c r="AN96" s="100">
        <v>0</v>
      </c>
      <c r="AO96" s="100">
        <v>0</v>
      </c>
      <c r="AP96" s="100">
        <f t="shared" si="47"/>
        <v>470349</v>
      </c>
      <c r="AQ96" s="101">
        <f t="shared" si="33"/>
        <v>9877313</v>
      </c>
      <c r="AR96" s="101">
        <v>0</v>
      </c>
      <c r="AS96" s="101">
        <v>0</v>
      </c>
      <c r="AT96" s="102" t="s">
        <v>33</v>
      </c>
      <c r="AU96" s="109">
        <v>2</v>
      </c>
      <c r="AV96" s="100">
        <v>2</v>
      </c>
      <c r="AW96" s="105"/>
      <c r="AX96" s="106">
        <f t="shared" si="34"/>
        <v>1.482125124131078</v>
      </c>
      <c r="AY96" s="101">
        <f t="shared" si="35"/>
        <v>139066</v>
      </c>
      <c r="AZ96" s="107"/>
      <c r="BA96" s="94">
        <v>45402.791666666664</v>
      </c>
      <c r="BB96" s="94">
        <v>45402.795138888891</v>
      </c>
      <c r="BC96" s="94">
        <v>45402.829861111109</v>
      </c>
      <c r="BD96" s="94">
        <v>45402.993055555555</v>
      </c>
      <c r="BE96" s="95">
        <f t="shared" si="36"/>
        <v>0.20138888889050577</v>
      </c>
      <c r="BF96" s="95">
        <v>3.4722222222222224E-2</v>
      </c>
      <c r="BG96" s="95">
        <v>4.2361111111111113E-2</v>
      </c>
      <c r="BH96" s="95">
        <f t="shared" si="37"/>
        <v>3.4722222262644209E-3</v>
      </c>
      <c r="BI96" s="95">
        <f t="shared" si="37"/>
        <v>3.4722222218988463E-2</v>
      </c>
      <c r="BJ96" s="95">
        <f t="shared" si="37"/>
        <v>0.16319444444525288</v>
      </c>
      <c r="BK96" s="95">
        <f t="shared" si="38"/>
        <v>0.19791666666424135</v>
      </c>
      <c r="BL96" s="95">
        <f t="shared" si="39"/>
        <v>0.12083333333090802</v>
      </c>
      <c r="BM96" s="95" t="str">
        <f t="shared" si="40"/>
        <v>00:00</v>
      </c>
      <c r="BN96" s="110"/>
    </row>
    <row r="97" spans="1:66" s="8" customFormat="1" ht="12.75" customHeight="1" x14ac:dyDescent="0.25">
      <c r="A97" s="90">
        <v>63</v>
      </c>
      <c r="B97" s="90">
        <v>63</v>
      </c>
      <c r="C97" s="90">
        <v>6</v>
      </c>
      <c r="D97" s="90" t="s">
        <v>148</v>
      </c>
      <c r="E97" s="91" t="s">
        <v>195</v>
      </c>
      <c r="F97" s="90" t="s">
        <v>16</v>
      </c>
      <c r="G97" s="90" t="s">
        <v>17</v>
      </c>
      <c r="H97" s="90" t="s">
        <v>150</v>
      </c>
      <c r="I97" s="92" t="s">
        <v>215</v>
      </c>
      <c r="J97" s="93">
        <v>45401</v>
      </c>
      <c r="K97" s="92" t="s">
        <v>122</v>
      </c>
      <c r="L97" s="92">
        <v>461000197</v>
      </c>
      <c r="M97" s="93">
        <v>45403</v>
      </c>
      <c r="N97" s="94">
        <v>45403.03125</v>
      </c>
      <c r="O97" s="94">
        <v>45403.03125</v>
      </c>
      <c r="P97" s="94">
        <v>45403.034722222219</v>
      </c>
      <c r="Q97" s="94">
        <v>45403.239583333336</v>
      </c>
      <c r="R97" s="114" t="s">
        <v>118</v>
      </c>
      <c r="S97" s="114" t="s">
        <v>118</v>
      </c>
      <c r="T97" s="114">
        <v>45403.354166666664</v>
      </c>
      <c r="U97" s="114">
        <v>45403.440972222219</v>
      </c>
      <c r="V97" s="95">
        <f t="shared" si="29"/>
        <v>0.20833333333575865</v>
      </c>
      <c r="W97" s="95">
        <v>0.20833333333333334</v>
      </c>
      <c r="X97" s="95">
        <f t="shared" si="30"/>
        <v>2.4253099528692701E-12</v>
      </c>
      <c r="Y97" s="96">
        <v>0</v>
      </c>
      <c r="Z97" s="96">
        <v>58</v>
      </c>
      <c r="AA97" s="96">
        <f t="shared" si="42"/>
        <v>58</v>
      </c>
      <c r="AB97" s="97">
        <f t="shared" si="43"/>
        <v>0</v>
      </c>
      <c r="AC97" s="97">
        <f t="shared" si="44"/>
        <v>3948.9700000000003</v>
      </c>
      <c r="AD97" s="98">
        <v>3948.97</v>
      </c>
      <c r="AE97" s="98">
        <v>4034.4</v>
      </c>
      <c r="AF97" s="98">
        <v>4037.4</v>
      </c>
      <c r="AG97" s="98">
        <f t="shared" si="45"/>
        <v>88.430000000000291</v>
      </c>
      <c r="AH97" s="99">
        <v>672.5</v>
      </c>
      <c r="AI97" s="100">
        <f t="shared" si="46"/>
        <v>2715151.5</v>
      </c>
      <c r="AJ97" s="100">
        <f t="shared" si="41"/>
        <v>0</v>
      </c>
      <c r="AK97" s="100">
        <v>0</v>
      </c>
      <c r="AL97" s="100">
        <v>24140</v>
      </c>
      <c r="AM97" s="100">
        <v>0</v>
      </c>
      <c r="AN97" s="100">
        <v>0</v>
      </c>
      <c r="AO97" s="100">
        <v>0</v>
      </c>
      <c r="AP97" s="100">
        <f t="shared" si="47"/>
        <v>136965</v>
      </c>
      <c r="AQ97" s="101">
        <f t="shared" si="33"/>
        <v>2876257</v>
      </c>
      <c r="AR97" s="101">
        <v>0</v>
      </c>
      <c r="AS97" s="101">
        <v>0</v>
      </c>
      <c r="AT97" s="102" t="s">
        <v>33</v>
      </c>
      <c r="AU97" s="109">
        <v>2</v>
      </c>
      <c r="AV97" s="100">
        <v>4</v>
      </c>
      <c r="AW97" s="105"/>
      <c r="AX97" s="106">
        <f t="shared" si="34"/>
        <v>2.1902709664635727</v>
      </c>
      <c r="AY97" s="101">
        <f t="shared" si="35"/>
        <v>59470</v>
      </c>
      <c r="AZ97" s="107"/>
      <c r="BA97" s="94">
        <v>45403.03125</v>
      </c>
      <c r="BB97" s="94">
        <v>45403.034722222219</v>
      </c>
      <c r="BC97" s="94">
        <v>45403.0625</v>
      </c>
      <c r="BD97" s="94">
        <v>45403.192361111112</v>
      </c>
      <c r="BE97" s="95">
        <f t="shared" si="36"/>
        <v>0.16111111111240461</v>
      </c>
      <c r="BF97" s="95">
        <v>3.6805555555555557E-2</v>
      </c>
      <c r="BG97" s="95">
        <v>0</v>
      </c>
      <c r="BH97" s="95">
        <f t="shared" si="37"/>
        <v>3.4722222189884633E-3</v>
      </c>
      <c r="BI97" s="95">
        <f t="shared" si="37"/>
        <v>2.7777777781011537E-2</v>
      </c>
      <c r="BJ97" s="95">
        <f t="shared" si="37"/>
        <v>0.12986111111240461</v>
      </c>
      <c r="BK97" s="95">
        <f t="shared" si="38"/>
        <v>0.15763888889341615</v>
      </c>
      <c r="BL97" s="95">
        <f t="shared" si="39"/>
        <v>0.12083333333786059</v>
      </c>
      <c r="BM97" s="95" t="str">
        <f t="shared" si="40"/>
        <v>00:00</v>
      </c>
      <c r="BN97" s="110"/>
    </row>
    <row r="98" spans="1:66" s="8" customFormat="1" ht="12.75" customHeight="1" x14ac:dyDescent="0.25">
      <c r="A98" s="90">
        <v>64</v>
      </c>
      <c r="B98" s="90">
        <v>64</v>
      </c>
      <c r="C98" s="90">
        <v>10</v>
      </c>
      <c r="D98" s="90" t="s">
        <v>113</v>
      </c>
      <c r="E98" s="91" t="s">
        <v>156</v>
      </c>
      <c r="F98" s="90" t="s">
        <v>37</v>
      </c>
      <c r="G98" s="90" t="s">
        <v>8</v>
      </c>
      <c r="H98" s="90" t="s">
        <v>165</v>
      </c>
      <c r="I98" s="92" t="s">
        <v>216</v>
      </c>
      <c r="J98" s="93">
        <v>45398</v>
      </c>
      <c r="K98" s="92" t="s">
        <v>117</v>
      </c>
      <c r="L98" s="92">
        <v>481000033</v>
      </c>
      <c r="M98" s="93">
        <v>45403</v>
      </c>
      <c r="N98" s="94">
        <v>45403.239583333336</v>
      </c>
      <c r="O98" s="94">
        <v>45403.239583333336</v>
      </c>
      <c r="P98" s="94">
        <v>45403.243055555555</v>
      </c>
      <c r="Q98" s="94">
        <v>45403.447916666664</v>
      </c>
      <c r="R98" s="114" t="s">
        <v>118</v>
      </c>
      <c r="S98" s="114">
        <v>45403.472222222219</v>
      </c>
      <c r="T98" s="114">
        <v>45403.597222222219</v>
      </c>
      <c r="U98" s="114">
        <v>45403.715277777781</v>
      </c>
      <c r="V98" s="95">
        <f t="shared" si="29"/>
        <v>0.20833333332848269</v>
      </c>
      <c r="W98" s="95">
        <v>0.20833333333333334</v>
      </c>
      <c r="X98" s="95" t="str">
        <f t="shared" si="30"/>
        <v>00:00</v>
      </c>
      <c r="Y98" s="96">
        <v>0</v>
      </c>
      <c r="Z98" s="96">
        <v>58</v>
      </c>
      <c r="AA98" s="96">
        <f t="shared" si="42"/>
        <v>58</v>
      </c>
      <c r="AB98" s="97">
        <f t="shared" si="43"/>
        <v>0</v>
      </c>
      <c r="AC98" s="97">
        <f t="shared" si="44"/>
        <v>3977.4599999999996</v>
      </c>
      <c r="AD98" s="98">
        <v>3977.46</v>
      </c>
      <c r="AE98" s="98">
        <v>4058.1</v>
      </c>
      <c r="AF98" s="98">
        <v>4065.4</v>
      </c>
      <c r="AG98" s="98">
        <f t="shared" si="45"/>
        <v>87.940000000000055</v>
      </c>
      <c r="AH98" s="99">
        <v>1537.9</v>
      </c>
      <c r="AI98" s="100">
        <f t="shared" si="46"/>
        <v>6252178.6600000001</v>
      </c>
      <c r="AJ98" s="100">
        <f t="shared" si="41"/>
        <v>0</v>
      </c>
      <c r="AK98" s="100">
        <v>0</v>
      </c>
      <c r="AL98" s="100">
        <v>24140</v>
      </c>
      <c r="AM98" s="100">
        <v>0</v>
      </c>
      <c r="AN98" s="100">
        <v>0</v>
      </c>
      <c r="AO98" s="100">
        <v>0</v>
      </c>
      <c r="AP98" s="100">
        <f t="shared" si="47"/>
        <v>313816</v>
      </c>
      <c r="AQ98" s="101">
        <f t="shared" si="33"/>
        <v>6590135</v>
      </c>
      <c r="AR98" s="101">
        <v>0</v>
      </c>
      <c r="AS98" s="101">
        <v>0</v>
      </c>
      <c r="AT98" s="102" t="s">
        <v>33</v>
      </c>
      <c r="AU98" s="109">
        <v>5</v>
      </c>
      <c r="AV98" s="100">
        <v>3</v>
      </c>
      <c r="AW98" s="105"/>
      <c r="AX98" s="106">
        <f t="shared" si="34"/>
        <v>2.163132779062332</v>
      </c>
      <c r="AY98" s="101">
        <f t="shared" si="35"/>
        <v>135243</v>
      </c>
      <c r="AZ98" s="107"/>
      <c r="BA98" s="94">
        <v>45403.239583333336</v>
      </c>
      <c r="BB98" s="94">
        <v>45403.243055555555</v>
      </c>
      <c r="BC98" s="94">
        <v>45403.243055555555</v>
      </c>
      <c r="BD98" s="94">
        <v>45403.470833333333</v>
      </c>
      <c r="BE98" s="95">
        <f t="shared" si="36"/>
        <v>0.23124999999708962</v>
      </c>
      <c r="BF98" s="95">
        <v>1.5277777777777777E-2</v>
      </c>
      <c r="BG98" s="95">
        <v>8.3333333333333329E-2</v>
      </c>
      <c r="BH98" s="95">
        <f t="shared" si="37"/>
        <v>3.4722222189884633E-3</v>
      </c>
      <c r="BI98" s="95">
        <f t="shared" si="37"/>
        <v>0</v>
      </c>
      <c r="BJ98" s="95">
        <f t="shared" si="37"/>
        <v>0.22777777777810115</v>
      </c>
      <c r="BK98" s="95">
        <f t="shared" si="38"/>
        <v>0.22777777777810115</v>
      </c>
      <c r="BL98" s="95">
        <f t="shared" si="39"/>
        <v>0.12916666666699006</v>
      </c>
      <c r="BM98" s="95">
        <f t="shared" si="40"/>
        <v>2.2916666663756274E-2</v>
      </c>
      <c r="BN98" s="110"/>
    </row>
    <row r="99" spans="1:66" s="8" customFormat="1" ht="12.75" customHeight="1" x14ac:dyDescent="0.25">
      <c r="A99" s="90">
        <v>65</v>
      </c>
      <c r="B99" s="90">
        <v>65</v>
      </c>
      <c r="C99" s="90">
        <v>7</v>
      </c>
      <c r="D99" s="90" t="s">
        <v>148</v>
      </c>
      <c r="E99" s="91" t="s">
        <v>195</v>
      </c>
      <c r="F99" s="90" t="s">
        <v>16</v>
      </c>
      <c r="G99" s="90" t="s">
        <v>17</v>
      </c>
      <c r="H99" s="90" t="s">
        <v>150</v>
      </c>
      <c r="I99" s="92" t="s">
        <v>217</v>
      </c>
      <c r="J99" s="93">
        <v>45401</v>
      </c>
      <c r="K99" s="92" t="s">
        <v>122</v>
      </c>
      <c r="L99" s="92">
        <v>461000198</v>
      </c>
      <c r="M99" s="93">
        <v>45403</v>
      </c>
      <c r="N99" s="94">
        <v>45403.479166666664</v>
      </c>
      <c r="O99" s="94">
        <v>45403.479166666664</v>
      </c>
      <c r="P99" s="94">
        <v>45403.482638888891</v>
      </c>
      <c r="Q99" s="94">
        <v>45403.677083333336</v>
      </c>
      <c r="R99" s="114" t="s">
        <v>118</v>
      </c>
      <c r="S99" s="114" t="s">
        <v>118</v>
      </c>
      <c r="T99" s="114">
        <v>45403.6875</v>
      </c>
      <c r="U99" s="114">
        <v>45403.804861111108</v>
      </c>
      <c r="V99" s="95">
        <f t="shared" si="29"/>
        <v>0.19791666667151731</v>
      </c>
      <c r="W99" s="95">
        <v>0.20833333333333334</v>
      </c>
      <c r="X99" s="95" t="str">
        <f t="shared" si="30"/>
        <v>00:00</v>
      </c>
      <c r="Y99" s="96">
        <v>1</v>
      </c>
      <c r="Z99" s="96">
        <v>58</v>
      </c>
      <c r="AA99" s="96">
        <f t="shared" si="42"/>
        <v>59</v>
      </c>
      <c r="AB99" s="97">
        <f t="shared" si="43"/>
        <v>67.737118644067792</v>
      </c>
      <c r="AC99" s="97">
        <f t="shared" si="44"/>
        <v>3928.752881355932</v>
      </c>
      <c r="AD99" s="98">
        <v>3996.49</v>
      </c>
      <c r="AE99" s="98">
        <v>4089.6</v>
      </c>
      <c r="AF99" s="98">
        <v>4089.6</v>
      </c>
      <c r="AG99" s="98">
        <f t="shared" si="45"/>
        <v>93.110000000000127</v>
      </c>
      <c r="AH99" s="99">
        <v>672.5</v>
      </c>
      <c r="AI99" s="100">
        <f t="shared" si="46"/>
        <v>2750256</v>
      </c>
      <c r="AJ99" s="100">
        <f t="shared" si="41"/>
        <v>0</v>
      </c>
      <c r="AK99" s="100">
        <v>0</v>
      </c>
      <c r="AL99" s="100">
        <v>0</v>
      </c>
      <c r="AM99" s="100">
        <v>0</v>
      </c>
      <c r="AN99" s="100">
        <v>0</v>
      </c>
      <c r="AO99" s="100">
        <v>0</v>
      </c>
      <c r="AP99" s="100">
        <f t="shared" si="47"/>
        <v>137513</v>
      </c>
      <c r="AQ99" s="101">
        <f t="shared" si="33"/>
        <v>2887769</v>
      </c>
      <c r="AR99" s="101">
        <v>0</v>
      </c>
      <c r="AS99" s="101">
        <v>0</v>
      </c>
      <c r="AT99" s="102" t="s">
        <v>33</v>
      </c>
      <c r="AU99" s="109" t="s">
        <v>118</v>
      </c>
      <c r="AV99" s="100">
        <v>0</v>
      </c>
      <c r="AW99" s="105"/>
      <c r="AX99" s="106">
        <f t="shared" si="34"/>
        <v>2.2767507824726163</v>
      </c>
      <c r="AY99" s="101">
        <f t="shared" si="35"/>
        <v>62617</v>
      </c>
      <c r="AZ99" s="107"/>
      <c r="BA99" s="94">
        <v>45403.479166666664</v>
      </c>
      <c r="BB99" s="94">
        <v>45403.482638888891</v>
      </c>
      <c r="BC99" s="94">
        <v>45403.503472222219</v>
      </c>
      <c r="BD99" s="94">
        <v>45403.629861111112</v>
      </c>
      <c r="BE99" s="95">
        <f t="shared" si="36"/>
        <v>0.15069444444816327</v>
      </c>
      <c r="BF99" s="95">
        <v>2.6388888888888889E-2</v>
      </c>
      <c r="BG99" s="95">
        <v>0</v>
      </c>
      <c r="BH99" s="95">
        <f t="shared" si="37"/>
        <v>3.4722222262644209E-3</v>
      </c>
      <c r="BI99" s="95">
        <f t="shared" si="37"/>
        <v>2.0833333328482695E-2</v>
      </c>
      <c r="BJ99" s="95">
        <f t="shared" si="37"/>
        <v>0.12638888889341615</v>
      </c>
      <c r="BK99" s="95">
        <f t="shared" si="38"/>
        <v>0.14722222222189885</v>
      </c>
      <c r="BL99" s="95">
        <f t="shared" si="39"/>
        <v>0.12083333333300995</v>
      </c>
      <c r="BM99" s="95" t="str">
        <f t="shared" si="40"/>
        <v>00:00</v>
      </c>
      <c r="BN99" s="110"/>
    </row>
    <row r="100" spans="1:66" s="8" customFormat="1" ht="12.75" customHeight="1" x14ac:dyDescent="0.25">
      <c r="A100" s="90">
        <v>66</v>
      </c>
      <c r="B100" s="90">
        <v>66</v>
      </c>
      <c r="C100" s="90">
        <v>4</v>
      </c>
      <c r="D100" s="90" t="s">
        <v>113</v>
      </c>
      <c r="E100" s="91" t="s">
        <v>140</v>
      </c>
      <c r="F100" s="90" t="s">
        <v>25</v>
      </c>
      <c r="G100" s="90" t="s">
        <v>12</v>
      </c>
      <c r="H100" s="90" t="s">
        <v>115</v>
      </c>
      <c r="I100" s="92" t="s">
        <v>218</v>
      </c>
      <c r="J100" s="93">
        <v>45403</v>
      </c>
      <c r="K100" s="92" t="s">
        <v>117</v>
      </c>
      <c r="L100" s="92">
        <v>282000892</v>
      </c>
      <c r="M100" s="93">
        <v>45404</v>
      </c>
      <c r="N100" s="94">
        <v>45403.760416666664</v>
      </c>
      <c r="O100" s="94">
        <v>45403.760416666664</v>
      </c>
      <c r="P100" s="94">
        <v>45403.777777777781</v>
      </c>
      <c r="Q100" s="94">
        <v>45403.958333333336</v>
      </c>
      <c r="R100" s="114" t="s">
        <v>118</v>
      </c>
      <c r="S100" s="114" t="s">
        <v>118</v>
      </c>
      <c r="T100" s="114">
        <v>45404.020833333336</v>
      </c>
      <c r="U100" s="114">
        <v>45404.133333333331</v>
      </c>
      <c r="V100" s="95">
        <f t="shared" si="29"/>
        <v>0.19791666667151731</v>
      </c>
      <c r="W100" s="95">
        <v>0.20833333333333334</v>
      </c>
      <c r="X100" s="95" t="str">
        <f t="shared" si="30"/>
        <v>00:00</v>
      </c>
      <c r="Y100" s="96">
        <v>0</v>
      </c>
      <c r="Z100" s="96">
        <v>59</v>
      </c>
      <c r="AA100" s="96">
        <f t="shared" si="42"/>
        <v>59</v>
      </c>
      <c r="AB100" s="97">
        <f t="shared" si="43"/>
        <v>0</v>
      </c>
      <c r="AC100" s="97">
        <f t="shared" si="44"/>
        <v>4064.8399999999997</v>
      </c>
      <c r="AD100" s="98">
        <v>4064.84</v>
      </c>
      <c r="AE100" s="98">
        <v>4114.7</v>
      </c>
      <c r="AF100" s="98">
        <v>4124.2</v>
      </c>
      <c r="AG100" s="98">
        <f t="shared" si="45"/>
        <v>59.359999999999673</v>
      </c>
      <c r="AH100" s="99">
        <v>1586.7</v>
      </c>
      <c r="AI100" s="100">
        <f t="shared" si="46"/>
        <v>6543868.1399999997</v>
      </c>
      <c r="AJ100" s="100">
        <f t="shared" si="41"/>
        <v>0</v>
      </c>
      <c r="AK100" s="100">
        <v>0</v>
      </c>
      <c r="AL100" s="100">
        <v>24290</v>
      </c>
      <c r="AM100" s="100">
        <v>0</v>
      </c>
      <c r="AN100" s="100">
        <v>0</v>
      </c>
      <c r="AO100" s="100">
        <f>IFERROR(AF100*20+(((AJ100/AH100)/2)*20),0)</f>
        <v>82484</v>
      </c>
      <c r="AP100" s="100">
        <f t="shared" si="47"/>
        <v>332533</v>
      </c>
      <c r="AQ100" s="101">
        <f t="shared" si="33"/>
        <v>6983176</v>
      </c>
      <c r="AR100" s="101">
        <v>0</v>
      </c>
      <c r="AS100" s="101">
        <v>0</v>
      </c>
      <c r="AT100" s="102" t="s">
        <v>33</v>
      </c>
      <c r="AU100" s="109">
        <v>3</v>
      </c>
      <c r="AV100" s="100">
        <v>2.5</v>
      </c>
      <c r="AW100" s="105"/>
      <c r="AX100" s="106">
        <f t="shared" si="34"/>
        <v>1.4393094418311352</v>
      </c>
      <c r="AY100" s="101">
        <f t="shared" si="35"/>
        <v>94187</v>
      </c>
      <c r="AZ100" s="107"/>
      <c r="BA100" s="94">
        <v>45403.760416666664</v>
      </c>
      <c r="BB100" s="94">
        <v>45403.777777777781</v>
      </c>
      <c r="BC100" s="94">
        <v>45403.777777777781</v>
      </c>
      <c r="BD100" s="94">
        <v>45403.95208333333</v>
      </c>
      <c r="BE100" s="95">
        <f t="shared" si="36"/>
        <v>0.19166666666569654</v>
      </c>
      <c r="BF100" s="95">
        <v>0</v>
      </c>
      <c r="BG100" s="95">
        <v>3.4027777777777775E-2</v>
      </c>
      <c r="BH100" s="95">
        <f t="shared" si="37"/>
        <v>1.7361111116770189E-2</v>
      </c>
      <c r="BI100" s="95">
        <f t="shared" si="37"/>
        <v>0</v>
      </c>
      <c r="BJ100" s="95">
        <f t="shared" si="37"/>
        <v>0.17430555554892635</v>
      </c>
      <c r="BK100" s="95">
        <f t="shared" si="38"/>
        <v>0.17430555554892635</v>
      </c>
      <c r="BL100" s="95">
        <f t="shared" si="39"/>
        <v>0.14027777777114858</v>
      </c>
      <c r="BM100" s="95" t="str">
        <f t="shared" si="40"/>
        <v>00:00</v>
      </c>
      <c r="BN100" s="110"/>
    </row>
    <row r="101" spans="1:66" s="8" customFormat="1" ht="12.75" customHeight="1" x14ac:dyDescent="0.25">
      <c r="A101" s="90">
        <v>67</v>
      </c>
      <c r="B101" s="90">
        <v>67</v>
      </c>
      <c r="C101" s="90">
        <v>8</v>
      </c>
      <c r="D101" s="90" t="s">
        <v>148</v>
      </c>
      <c r="E101" s="91" t="s">
        <v>195</v>
      </c>
      <c r="F101" s="90" t="s">
        <v>16</v>
      </c>
      <c r="G101" s="90" t="s">
        <v>17</v>
      </c>
      <c r="H101" s="90" t="s">
        <v>150</v>
      </c>
      <c r="I101" s="92" t="s">
        <v>219</v>
      </c>
      <c r="J101" s="93">
        <v>45403</v>
      </c>
      <c r="K101" s="92" t="s">
        <v>122</v>
      </c>
      <c r="L101" s="92">
        <v>461000199</v>
      </c>
      <c r="M101" s="93">
        <v>45404</v>
      </c>
      <c r="N101" s="94">
        <v>45403.833333333336</v>
      </c>
      <c r="O101" s="94">
        <v>45403.833333333336</v>
      </c>
      <c r="P101" s="94">
        <v>45403.836805555555</v>
      </c>
      <c r="Q101" s="94">
        <v>45404.041666666664</v>
      </c>
      <c r="R101" s="114" t="s">
        <v>118</v>
      </c>
      <c r="S101" s="114">
        <v>45404.135416666664</v>
      </c>
      <c r="T101" s="114">
        <v>45404.208333333336</v>
      </c>
      <c r="U101" s="114">
        <v>45404.326388888891</v>
      </c>
      <c r="V101" s="95">
        <f t="shared" si="29"/>
        <v>0.20833333332848269</v>
      </c>
      <c r="W101" s="95">
        <v>0.20833333333333334</v>
      </c>
      <c r="X101" s="95" t="str">
        <f t="shared" si="30"/>
        <v>00:00</v>
      </c>
      <c r="Y101" s="96">
        <v>0</v>
      </c>
      <c r="Z101" s="96">
        <v>59</v>
      </c>
      <c r="AA101" s="96">
        <f t="shared" si="42"/>
        <v>59</v>
      </c>
      <c r="AB101" s="97">
        <f t="shared" si="43"/>
        <v>0</v>
      </c>
      <c r="AC101" s="97">
        <f t="shared" si="44"/>
        <v>4064.5499999999997</v>
      </c>
      <c r="AD101" s="98">
        <v>4064.55</v>
      </c>
      <c r="AE101" s="98">
        <v>4113</v>
      </c>
      <c r="AF101" s="98">
        <v>4121.8</v>
      </c>
      <c r="AG101" s="98">
        <f t="shared" si="45"/>
        <v>57.25</v>
      </c>
      <c r="AH101" s="99">
        <v>672.5</v>
      </c>
      <c r="AI101" s="100">
        <f t="shared" si="46"/>
        <v>2771910.5</v>
      </c>
      <c r="AJ101" s="100">
        <f t="shared" si="41"/>
        <v>0</v>
      </c>
      <c r="AK101" s="100">
        <v>0</v>
      </c>
      <c r="AL101" s="100">
        <v>24290</v>
      </c>
      <c r="AM101" s="100">
        <v>0</v>
      </c>
      <c r="AN101" s="100">
        <v>0</v>
      </c>
      <c r="AO101" s="100">
        <v>0</v>
      </c>
      <c r="AP101" s="100">
        <f t="shared" si="47"/>
        <v>139811</v>
      </c>
      <c r="AQ101" s="101">
        <f t="shared" si="33"/>
        <v>2936012</v>
      </c>
      <c r="AR101" s="101">
        <v>0</v>
      </c>
      <c r="AS101" s="101">
        <v>0</v>
      </c>
      <c r="AT101" s="102" t="s">
        <v>33</v>
      </c>
      <c r="AU101" s="109">
        <v>3</v>
      </c>
      <c r="AV101" s="100">
        <v>2.5</v>
      </c>
      <c r="AW101" s="105"/>
      <c r="AX101" s="106">
        <f t="shared" si="34"/>
        <v>1.388956281236353</v>
      </c>
      <c r="AY101" s="101">
        <f t="shared" si="35"/>
        <v>38501</v>
      </c>
      <c r="AZ101" s="107"/>
      <c r="BA101" s="94">
        <v>45403.833333333336</v>
      </c>
      <c r="BB101" s="94">
        <v>45403.836805555555</v>
      </c>
      <c r="BC101" s="94">
        <v>45403.986805555556</v>
      </c>
      <c r="BD101" s="94">
        <v>45404.125</v>
      </c>
      <c r="BE101" s="95">
        <f t="shared" si="36"/>
        <v>0.29166666666424135</v>
      </c>
      <c r="BF101" s="95">
        <v>3.9583333333333331E-2</v>
      </c>
      <c r="BG101" s="95">
        <v>0.11527777777777778</v>
      </c>
      <c r="BH101" s="95">
        <f t="shared" si="37"/>
        <v>3.4722222189884633E-3</v>
      </c>
      <c r="BI101" s="95">
        <f t="shared" si="37"/>
        <v>0.15000000000145519</v>
      </c>
      <c r="BJ101" s="95">
        <f t="shared" si="37"/>
        <v>0.13819444444379769</v>
      </c>
      <c r="BK101" s="95">
        <f t="shared" si="38"/>
        <v>0.28819444444525288</v>
      </c>
      <c r="BL101" s="95">
        <f t="shared" si="39"/>
        <v>0.13333333333414177</v>
      </c>
      <c r="BM101" s="95">
        <f t="shared" si="40"/>
        <v>8.3333333330908005E-2</v>
      </c>
      <c r="BN101" s="110"/>
    </row>
    <row r="102" spans="1:66" s="8" customFormat="1" ht="12.75" customHeight="1" x14ac:dyDescent="0.25">
      <c r="A102" s="90">
        <v>68</v>
      </c>
      <c r="B102" s="90">
        <v>68</v>
      </c>
      <c r="C102" s="90">
        <v>13</v>
      </c>
      <c r="D102" s="90" t="s">
        <v>113</v>
      </c>
      <c r="E102" s="91" t="s">
        <v>204</v>
      </c>
      <c r="F102" s="90" t="s">
        <v>32</v>
      </c>
      <c r="G102" s="90" t="s">
        <v>15</v>
      </c>
      <c r="H102" s="90" t="s">
        <v>127</v>
      </c>
      <c r="I102" s="92" t="s">
        <v>220</v>
      </c>
      <c r="J102" s="93">
        <v>45401</v>
      </c>
      <c r="K102" s="92" t="s">
        <v>117</v>
      </c>
      <c r="L102" s="92">
        <v>262009597</v>
      </c>
      <c r="M102" s="93">
        <v>45404</v>
      </c>
      <c r="N102" s="94">
        <v>45404.1875</v>
      </c>
      <c r="O102" s="94">
        <v>45404.1875</v>
      </c>
      <c r="P102" s="94">
        <v>45404.197916666664</v>
      </c>
      <c r="Q102" s="94">
        <v>45404.395833333336</v>
      </c>
      <c r="R102" s="114" t="s">
        <v>118</v>
      </c>
      <c r="S102" s="114" t="s">
        <v>118</v>
      </c>
      <c r="T102" s="114">
        <v>45404.489583333336</v>
      </c>
      <c r="U102" s="114">
        <v>45404.673611111109</v>
      </c>
      <c r="V102" s="95">
        <f t="shared" si="29"/>
        <v>0.20833333333575865</v>
      </c>
      <c r="W102" s="95">
        <v>0.20833333333333334</v>
      </c>
      <c r="X102" s="95">
        <f t="shared" si="30"/>
        <v>2.4253099528692701E-12</v>
      </c>
      <c r="Y102" s="96">
        <v>0</v>
      </c>
      <c r="Z102" s="96">
        <v>59</v>
      </c>
      <c r="AA102" s="96">
        <f t="shared" si="42"/>
        <v>59</v>
      </c>
      <c r="AB102" s="97">
        <f t="shared" si="43"/>
        <v>0</v>
      </c>
      <c r="AC102" s="97">
        <f t="shared" si="44"/>
        <v>4076.09</v>
      </c>
      <c r="AD102" s="98">
        <v>4076.09</v>
      </c>
      <c r="AE102" s="98">
        <v>4111.8</v>
      </c>
      <c r="AF102" s="98">
        <v>4124.3999999999996</v>
      </c>
      <c r="AG102" s="98">
        <f t="shared" si="45"/>
        <v>48.309999999999491</v>
      </c>
      <c r="AH102" s="99">
        <v>1484</v>
      </c>
      <c r="AI102" s="100">
        <f t="shared" si="46"/>
        <v>6120609.5999999996</v>
      </c>
      <c r="AJ102" s="100">
        <f t="shared" si="41"/>
        <v>0</v>
      </c>
      <c r="AK102" s="100">
        <v>0</v>
      </c>
      <c r="AL102" s="100">
        <v>24290</v>
      </c>
      <c r="AM102" s="100">
        <v>0</v>
      </c>
      <c r="AN102" s="100">
        <v>0</v>
      </c>
      <c r="AO102" s="100">
        <v>0</v>
      </c>
      <c r="AP102" s="100">
        <f t="shared" si="47"/>
        <v>307245</v>
      </c>
      <c r="AQ102" s="101">
        <f t="shared" si="33"/>
        <v>6452145</v>
      </c>
      <c r="AR102" s="101">
        <v>0</v>
      </c>
      <c r="AS102" s="101">
        <v>0</v>
      </c>
      <c r="AT102" s="102" t="s">
        <v>33</v>
      </c>
      <c r="AU102" s="109">
        <v>6</v>
      </c>
      <c r="AV102" s="100">
        <v>4</v>
      </c>
      <c r="AW102" s="105"/>
      <c r="AX102" s="106">
        <f t="shared" si="34"/>
        <v>1.1713218892444839</v>
      </c>
      <c r="AY102" s="101">
        <f t="shared" si="35"/>
        <v>71693</v>
      </c>
      <c r="AZ102" s="107"/>
      <c r="BA102" s="94">
        <v>45404.1875</v>
      </c>
      <c r="BB102" s="94">
        <v>45404.197916666664</v>
      </c>
      <c r="BC102" s="94">
        <v>45404.208333333336</v>
      </c>
      <c r="BD102" s="94">
        <v>45404.40347222222</v>
      </c>
      <c r="BE102" s="95">
        <f t="shared" si="36"/>
        <v>0.21597222222044365</v>
      </c>
      <c r="BF102" s="95">
        <v>1.2500000000000001E-2</v>
      </c>
      <c r="BG102" s="95">
        <v>7.4305555555555555E-2</v>
      </c>
      <c r="BH102" s="95">
        <f t="shared" si="37"/>
        <v>1.0416666664241347E-2</v>
      </c>
      <c r="BI102" s="95">
        <f t="shared" si="37"/>
        <v>1.0416666671517305E-2</v>
      </c>
      <c r="BJ102" s="95">
        <f t="shared" si="37"/>
        <v>0.195138888884685</v>
      </c>
      <c r="BK102" s="95">
        <f t="shared" si="38"/>
        <v>0.20555555555620231</v>
      </c>
      <c r="BL102" s="95">
        <f t="shared" si="39"/>
        <v>0.11875000000064674</v>
      </c>
      <c r="BM102" s="95">
        <f t="shared" si="40"/>
        <v>7.6388888871103122E-3</v>
      </c>
      <c r="BN102" s="110"/>
    </row>
    <row r="103" spans="1:66" s="8" customFormat="1" ht="12.75" customHeight="1" x14ac:dyDescent="0.25">
      <c r="A103" s="90">
        <v>69</v>
      </c>
      <c r="B103" s="90">
        <v>69</v>
      </c>
      <c r="C103" s="90">
        <v>11</v>
      </c>
      <c r="D103" s="90" t="s">
        <v>113</v>
      </c>
      <c r="E103" s="91" t="s">
        <v>156</v>
      </c>
      <c r="F103" s="90" t="s">
        <v>37</v>
      </c>
      <c r="G103" s="90" t="s">
        <v>8</v>
      </c>
      <c r="H103" s="90" t="s">
        <v>153</v>
      </c>
      <c r="I103" s="92" t="s">
        <v>221</v>
      </c>
      <c r="J103" s="93">
        <v>45401</v>
      </c>
      <c r="K103" s="92" t="s">
        <v>122</v>
      </c>
      <c r="L103" s="92">
        <v>482000342</v>
      </c>
      <c r="M103" s="93">
        <v>45405</v>
      </c>
      <c r="N103" s="94">
        <v>45404.5</v>
      </c>
      <c r="O103" s="94">
        <v>45404.5</v>
      </c>
      <c r="P103" s="94">
        <v>45404.510416666664</v>
      </c>
      <c r="Q103" s="94">
        <v>45404.708333333336</v>
      </c>
      <c r="R103" s="114" t="s">
        <v>118</v>
      </c>
      <c r="S103" s="114">
        <v>45404.770833333336</v>
      </c>
      <c r="T103" s="114">
        <v>45404.847222222219</v>
      </c>
      <c r="U103" s="114">
        <v>45404.945833333331</v>
      </c>
      <c r="V103" s="95">
        <f t="shared" si="29"/>
        <v>0.20833333333575865</v>
      </c>
      <c r="W103" s="95">
        <v>0.20833333333333334</v>
      </c>
      <c r="X103" s="95">
        <f t="shared" si="30"/>
        <v>2.4253099528692701E-12</v>
      </c>
      <c r="Y103" s="96">
        <v>0</v>
      </c>
      <c r="Z103" s="96">
        <v>58</v>
      </c>
      <c r="AA103" s="96">
        <f t="shared" si="42"/>
        <v>58</v>
      </c>
      <c r="AB103" s="97">
        <f t="shared" si="43"/>
        <v>0</v>
      </c>
      <c r="AC103" s="97">
        <f t="shared" si="44"/>
        <v>3982.73</v>
      </c>
      <c r="AD103" s="98">
        <v>3982.73</v>
      </c>
      <c r="AE103" s="98">
        <v>4034.4</v>
      </c>
      <c r="AF103" s="98">
        <v>4043</v>
      </c>
      <c r="AG103" s="98">
        <f t="shared" si="45"/>
        <v>60.269999999999982</v>
      </c>
      <c r="AH103" s="99">
        <v>1484</v>
      </c>
      <c r="AI103" s="100">
        <f t="shared" si="46"/>
        <v>5999812</v>
      </c>
      <c r="AJ103" s="100">
        <f>(1*AH103)*2</f>
        <v>2968</v>
      </c>
      <c r="AK103" s="100">
        <v>0</v>
      </c>
      <c r="AL103" s="100">
        <v>0</v>
      </c>
      <c r="AM103" s="100">
        <v>0</v>
      </c>
      <c r="AN103" s="100">
        <v>0</v>
      </c>
      <c r="AO103" s="100">
        <v>0</v>
      </c>
      <c r="AP103" s="100">
        <f t="shared" si="47"/>
        <v>300139</v>
      </c>
      <c r="AQ103" s="101">
        <f t="shared" si="33"/>
        <v>6302919</v>
      </c>
      <c r="AR103" s="101">
        <v>0</v>
      </c>
      <c r="AS103" s="101">
        <v>0</v>
      </c>
      <c r="AT103" s="102" t="s">
        <v>33</v>
      </c>
      <c r="AU103" s="109" t="s">
        <v>118</v>
      </c>
      <c r="AV103" s="100">
        <v>0</v>
      </c>
      <c r="AW103" s="105"/>
      <c r="AX103" s="106">
        <f t="shared" si="34"/>
        <v>1.4907247093742266</v>
      </c>
      <c r="AY103" s="101">
        <f t="shared" si="35"/>
        <v>89441</v>
      </c>
      <c r="AZ103" s="107"/>
      <c r="BA103" s="94">
        <v>45404.5</v>
      </c>
      <c r="BB103" s="94">
        <v>45404.510416666664</v>
      </c>
      <c r="BC103" s="94">
        <v>45404.527777777781</v>
      </c>
      <c r="BD103" s="94">
        <v>45404.763194444444</v>
      </c>
      <c r="BE103" s="95">
        <f t="shared" si="36"/>
        <v>0.26319444444379769</v>
      </c>
      <c r="BF103" s="95">
        <v>1.6666666666666666E-2</v>
      </c>
      <c r="BG103" s="95">
        <v>0.10486111111111111</v>
      </c>
      <c r="BH103" s="95">
        <f t="shared" si="37"/>
        <v>1.0416666664241347E-2</v>
      </c>
      <c r="BI103" s="95">
        <f t="shared" si="37"/>
        <v>1.7361111116770189E-2</v>
      </c>
      <c r="BJ103" s="95">
        <f t="shared" si="37"/>
        <v>0.23541666666278616</v>
      </c>
      <c r="BK103" s="95">
        <f t="shared" si="38"/>
        <v>0.25277777777955635</v>
      </c>
      <c r="BL103" s="95">
        <f t="shared" si="39"/>
        <v>0.13125000000177856</v>
      </c>
      <c r="BM103" s="95">
        <f t="shared" si="40"/>
        <v>5.486111111046435E-2</v>
      </c>
      <c r="BN103" s="110"/>
    </row>
    <row r="104" spans="1:66" s="8" customFormat="1" ht="12.75" customHeight="1" x14ac:dyDescent="0.25">
      <c r="A104" s="90">
        <v>70</v>
      </c>
      <c r="B104" s="90">
        <v>70</v>
      </c>
      <c r="C104" s="90">
        <v>14</v>
      </c>
      <c r="D104" s="90" t="s">
        <v>113</v>
      </c>
      <c r="E104" s="91" t="s">
        <v>204</v>
      </c>
      <c r="F104" s="90" t="s">
        <v>32</v>
      </c>
      <c r="G104" s="90" t="s">
        <v>15</v>
      </c>
      <c r="H104" s="90" t="s">
        <v>135</v>
      </c>
      <c r="I104" s="92" t="s">
        <v>222</v>
      </c>
      <c r="J104" s="93">
        <v>45402</v>
      </c>
      <c r="K104" s="92" t="s">
        <v>117</v>
      </c>
      <c r="L104" s="92">
        <v>261005712</v>
      </c>
      <c r="M104" s="93">
        <v>45405</v>
      </c>
      <c r="N104" s="94">
        <v>45404.822916666664</v>
      </c>
      <c r="O104" s="94">
        <v>45404.822916666664</v>
      </c>
      <c r="P104" s="94">
        <v>45404.847222222219</v>
      </c>
      <c r="Q104" s="94">
        <v>45404.989583333336</v>
      </c>
      <c r="R104" s="114">
        <v>45404.840277777781</v>
      </c>
      <c r="S104" s="114" t="s">
        <v>118</v>
      </c>
      <c r="T104" s="114">
        <v>45405.131944444445</v>
      </c>
      <c r="U104" s="114">
        <v>45405.222222222219</v>
      </c>
      <c r="V104" s="95">
        <f t="shared" si="29"/>
        <v>0.16666666667151731</v>
      </c>
      <c r="W104" s="95">
        <v>0.20833333333333334</v>
      </c>
      <c r="X104" s="95" t="str">
        <f t="shared" si="30"/>
        <v>00:00</v>
      </c>
      <c r="Y104" s="96">
        <v>2</v>
      </c>
      <c r="Z104" s="96">
        <v>55</v>
      </c>
      <c r="AA104" s="96">
        <f t="shared" si="42"/>
        <v>57</v>
      </c>
      <c r="AB104" s="97">
        <f t="shared" si="43"/>
        <v>137.5901754385965</v>
      </c>
      <c r="AC104" s="97">
        <f t="shared" si="44"/>
        <v>3783.7298245614038</v>
      </c>
      <c r="AD104" s="98">
        <v>3921.32</v>
      </c>
      <c r="AE104" s="98">
        <v>3951</v>
      </c>
      <c r="AF104" s="98">
        <v>3965.6</v>
      </c>
      <c r="AG104" s="98">
        <f t="shared" si="45"/>
        <v>44.279999999999745</v>
      </c>
      <c r="AH104" s="99">
        <v>797.2</v>
      </c>
      <c r="AI104" s="100">
        <f t="shared" si="46"/>
        <v>3161376.3200000003</v>
      </c>
      <c r="AJ104" s="100">
        <f>(0*AH104)*2</f>
        <v>0</v>
      </c>
      <c r="AK104" s="100">
        <v>0</v>
      </c>
      <c r="AL104" s="100">
        <v>23990</v>
      </c>
      <c r="AM104" s="100">
        <v>0</v>
      </c>
      <c r="AN104" s="100">
        <v>0</v>
      </c>
      <c r="AO104" s="100">
        <v>0</v>
      </c>
      <c r="AP104" s="100">
        <f t="shared" si="47"/>
        <v>159269</v>
      </c>
      <c r="AQ104" s="101">
        <f t="shared" si="33"/>
        <v>3344636</v>
      </c>
      <c r="AR104" s="101">
        <v>0</v>
      </c>
      <c r="AS104" s="101">
        <v>0</v>
      </c>
      <c r="AT104" s="102" t="s">
        <v>33</v>
      </c>
      <c r="AU104" s="109">
        <v>8</v>
      </c>
      <c r="AV104" s="100">
        <v>5.5</v>
      </c>
      <c r="AW104" s="105"/>
      <c r="AX104" s="106">
        <f t="shared" si="34"/>
        <v>1.1166027839418939</v>
      </c>
      <c r="AY104" s="101">
        <f t="shared" si="35"/>
        <v>35301</v>
      </c>
      <c r="AZ104" s="107"/>
      <c r="BA104" s="94">
        <v>45404.840277777781</v>
      </c>
      <c r="BB104" s="94">
        <v>45404.847222222219</v>
      </c>
      <c r="BC104" s="94">
        <v>45404.847222222219</v>
      </c>
      <c r="BD104" s="94">
        <v>45405.024305555555</v>
      </c>
      <c r="BE104" s="95">
        <f t="shared" si="36"/>
        <v>0.18402777777373558</v>
      </c>
      <c r="BF104" s="95">
        <v>8.3333333333333332E-3</v>
      </c>
      <c r="BG104" s="95">
        <v>6.3194444444444442E-2</v>
      </c>
      <c r="BH104" s="95">
        <f t="shared" si="37"/>
        <v>6.9444444379769266E-3</v>
      </c>
      <c r="BI104" s="95">
        <f t="shared" si="37"/>
        <v>0</v>
      </c>
      <c r="BJ104" s="95">
        <f t="shared" si="37"/>
        <v>0.17708333333575865</v>
      </c>
      <c r="BK104" s="95">
        <f t="shared" si="38"/>
        <v>0.17708333333575865</v>
      </c>
      <c r="BL104" s="95">
        <f t="shared" si="39"/>
        <v>0.10555555555798088</v>
      </c>
      <c r="BM104" s="95" t="str">
        <f t="shared" si="40"/>
        <v>00:00</v>
      </c>
      <c r="BN104" s="110"/>
    </row>
    <row r="105" spans="1:66" s="8" customFormat="1" ht="12.75" customHeight="1" x14ac:dyDescent="0.25">
      <c r="A105" s="90">
        <v>71</v>
      </c>
      <c r="B105" s="90">
        <v>71</v>
      </c>
      <c r="C105" s="90">
        <v>9</v>
      </c>
      <c r="D105" s="90" t="s">
        <v>148</v>
      </c>
      <c r="E105" s="91" t="s">
        <v>195</v>
      </c>
      <c r="F105" s="90" t="s">
        <v>16</v>
      </c>
      <c r="G105" s="90" t="s">
        <v>17</v>
      </c>
      <c r="H105" s="90" t="s">
        <v>150</v>
      </c>
      <c r="I105" s="92" t="s">
        <v>223</v>
      </c>
      <c r="J105" s="93">
        <v>45403</v>
      </c>
      <c r="K105" s="92" t="s">
        <v>122</v>
      </c>
      <c r="L105" s="92">
        <v>461000200</v>
      </c>
      <c r="M105" s="93">
        <v>45405</v>
      </c>
      <c r="N105" s="94">
        <v>45405.138888888891</v>
      </c>
      <c r="O105" s="94">
        <v>45405.138888888891</v>
      </c>
      <c r="P105" s="94">
        <v>45405.142361111109</v>
      </c>
      <c r="Q105" s="94">
        <v>45405.322916666664</v>
      </c>
      <c r="R105" s="114" t="s">
        <v>118</v>
      </c>
      <c r="S105" s="114" t="s">
        <v>118</v>
      </c>
      <c r="T105" s="114">
        <v>45405.375</v>
      </c>
      <c r="U105" s="114">
        <v>45405.48541666667</v>
      </c>
      <c r="V105" s="95">
        <f t="shared" si="29"/>
        <v>0.18402777777373558</v>
      </c>
      <c r="W105" s="95">
        <v>0.20833333333333334</v>
      </c>
      <c r="X105" s="95" t="str">
        <f t="shared" si="30"/>
        <v>00:00</v>
      </c>
      <c r="Y105" s="96">
        <v>0</v>
      </c>
      <c r="Z105" s="96">
        <v>58</v>
      </c>
      <c r="AA105" s="96">
        <f t="shared" si="42"/>
        <v>58</v>
      </c>
      <c r="AB105" s="97">
        <f t="shared" si="43"/>
        <v>0</v>
      </c>
      <c r="AC105" s="97">
        <f t="shared" si="44"/>
        <v>3977.2300000000005</v>
      </c>
      <c r="AD105" s="98">
        <v>3977.23</v>
      </c>
      <c r="AE105" s="98">
        <v>4039.6</v>
      </c>
      <c r="AF105" s="98">
        <v>4047.4</v>
      </c>
      <c r="AG105" s="98">
        <f t="shared" si="45"/>
        <v>70.170000000000073</v>
      </c>
      <c r="AH105" s="99">
        <v>672.5</v>
      </c>
      <c r="AI105" s="100">
        <f t="shared" si="46"/>
        <v>2721876.5</v>
      </c>
      <c r="AJ105" s="100">
        <f>(0.2*AH105)*2</f>
        <v>269</v>
      </c>
      <c r="AK105" s="100">
        <v>0</v>
      </c>
      <c r="AL105" s="100">
        <v>0</v>
      </c>
      <c r="AM105" s="100">
        <v>0</v>
      </c>
      <c r="AN105" s="100">
        <v>0</v>
      </c>
      <c r="AO105" s="100">
        <v>0</v>
      </c>
      <c r="AP105" s="100">
        <f t="shared" si="47"/>
        <v>136108</v>
      </c>
      <c r="AQ105" s="101">
        <f t="shared" si="33"/>
        <v>2858254</v>
      </c>
      <c r="AR105" s="101">
        <v>0</v>
      </c>
      <c r="AS105" s="101">
        <v>0</v>
      </c>
      <c r="AT105" s="102" t="s">
        <v>33</v>
      </c>
      <c r="AU105" s="109" t="s">
        <v>118</v>
      </c>
      <c r="AV105" s="100">
        <v>0</v>
      </c>
      <c r="AW105" s="105"/>
      <c r="AX105" s="106">
        <f t="shared" si="34"/>
        <v>1.7337055887730415</v>
      </c>
      <c r="AY105" s="101">
        <f t="shared" si="35"/>
        <v>47190</v>
      </c>
      <c r="AZ105" s="107"/>
      <c r="BA105" s="94">
        <v>45405.138888888891</v>
      </c>
      <c r="BB105" s="94">
        <v>45405.142361111109</v>
      </c>
      <c r="BC105" s="94">
        <v>45405.142361111109</v>
      </c>
      <c r="BD105" s="94">
        <v>45405.3</v>
      </c>
      <c r="BE105" s="95">
        <f t="shared" si="36"/>
        <v>0.16111111111240461</v>
      </c>
      <c r="BF105" s="95">
        <v>2.4305555555555556E-2</v>
      </c>
      <c r="BG105" s="95">
        <v>0</v>
      </c>
      <c r="BH105" s="95">
        <f t="shared" si="37"/>
        <v>3.4722222189884633E-3</v>
      </c>
      <c r="BI105" s="95">
        <f t="shared" si="37"/>
        <v>0</v>
      </c>
      <c r="BJ105" s="95">
        <f t="shared" si="37"/>
        <v>0.15763888889341615</v>
      </c>
      <c r="BK105" s="95">
        <f t="shared" si="38"/>
        <v>0.15763888889341615</v>
      </c>
      <c r="BL105" s="95">
        <f t="shared" si="39"/>
        <v>0.1333333333378606</v>
      </c>
      <c r="BM105" s="95" t="str">
        <f t="shared" si="40"/>
        <v>00:00</v>
      </c>
      <c r="BN105" s="110"/>
    </row>
    <row r="106" spans="1:66" s="8" customFormat="1" ht="12.75" customHeight="1" x14ac:dyDescent="0.25">
      <c r="A106" s="90">
        <v>72</v>
      </c>
      <c r="B106" s="90">
        <v>72</v>
      </c>
      <c r="C106" s="90">
        <v>12</v>
      </c>
      <c r="D106" s="90" t="s">
        <v>113</v>
      </c>
      <c r="E106" s="91" t="s">
        <v>156</v>
      </c>
      <c r="F106" s="90" t="s">
        <v>37</v>
      </c>
      <c r="G106" s="90" t="s">
        <v>8</v>
      </c>
      <c r="H106" s="90" t="s">
        <v>165</v>
      </c>
      <c r="I106" s="92" t="s">
        <v>224</v>
      </c>
      <c r="J106" s="93">
        <v>45405</v>
      </c>
      <c r="K106" s="92" t="s">
        <v>117</v>
      </c>
      <c r="L106" s="92">
        <v>481000034</v>
      </c>
      <c r="M106" s="93">
        <v>45405</v>
      </c>
      <c r="N106" s="94">
        <v>45405.319444444445</v>
      </c>
      <c r="O106" s="94">
        <v>45405.319444444445</v>
      </c>
      <c r="P106" s="94">
        <v>45405.322916666664</v>
      </c>
      <c r="Q106" s="94">
        <v>45405.527777777781</v>
      </c>
      <c r="R106" s="114" t="s">
        <v>118</v>
      </c>
      <c r="S106" s="114" t="s">
        <v>118</v>
      </c>
      <c r="T106" s="114">
        <v>45405.583333333336</v>
      </c>
      <c r="U106" s="114">
        <v>45405.729166666664</v>
      </c>
      <c r="V106" s="95">
        <f t="shared" si="29"/>
        <v>0.20833333333575865</v>
      </c>
      <c r="W106" s="95">
        <v>0.20833333333333334</v>
      </c>
      <c r="X106" s="95">
        <f t="shared" si="30"/>
        <v>2.4253099528692701E-12</v>
      </c>
      <c r="Y106" s="96">
        <v>0</v>
      </c>
      <c r="Z106" s="96">
        <v>58</v>
      </c>
      <c r="AA106" s="96">
        <f t="shared" si="42"/>
        <v>58</v>
      </c>
      <c r="AB106" s="97">
        <f t="shared" si="43"/>
        <v>0</v>
      </c>
      <c r="AC106" s="97">
        <f t="shared" si="44"/>
        <v>3965.37</v>
      </c>
      <c r="AD106" s="98">
        <v>3965.37</v>
      </c>
      <c r="AE106" s="98">
        <v>4025.1</v>
      </c>
      <c r="AF106" s="98">
        <v>4033.8</v>
      </c>
      <c r="AG106" s="98">
        <f t="shared" si="45"/>
        <v>68.430000000000291</v>
      </c>
      <c r="AH106" s="99">
        <v>1537.9</v>
      </c>
      <c r="AI106" s="100">
        <f t="shared" si="46"/>
        <v>6203581.0200000005</v>
      </c>
      <c r="AJ106" s="100">
        <f t="shared" ref="AJ106:AJ119" si="48">(0*AH106)*2</f>
        <v>0</v>
      </c>
      <c r="AK106" s="100">
        <v>0</v>
      </c>
      <c r="AL106" s="100">
        <v>24140</v>
      </c>
      <c r="AM106" s="100">
        <v>0</v>
      </c>
      <c r="AN106" s="100">
        <v>0</v>
      </c>
      <c r="AO106" s="100">
        <v>0</v>
      </c>
      <c r="AP106" s="100">
        <f t="shared" si="47"/>
        <v>311387</v>
      </c>
      <c r="AQ106" s="101">
        <f t="shared" si="33"/>
        <v>6539109</v>
      </c>
      <c r="AR106" s="101">
        <v>0</v>
      </c>
      <c r="AS106" s="101">
        <v>0</v>
      </c>
      <c r="AT106" s="102" t="s">
        <v>33</v>
      </c>
      <c r="AU106" s="109">
        <v>4</v>
      </c>
      <c r="AV106" s="100">
        <v>3</v>
      </c>
      <c r="AW106" s="105"/>
      <c r="AX106" s="106">
        <f t="shared" si="34"/>
        <v>1.6964152907928081</v>
      </c>
      <c r="AY106" s="101">
        <f t="shared" si="35"/>
        <v>105239</v>
      </c>
      <c r="AZ106" s="107"/>
      <c r="BA106" s="94">
        <v>45405.319444444445</v>
      </c>
      <c r="BB106" s="94">
        <v>45405.322916666664</v>
      </c>
      <c r="BC106" s="94">
        <v>45405.354166666664</v>
      </c>
      <c r="BD106" s="94">
        <v>45405.533333333333</v>
      </c>
      <c r="BE106" s="95">
        <f t="shared" si="36"/>
        <v>0.21388888888759539</v>
      </c>
      <c r="BF106" s="95">
        <v>5.347222222222222E-2</v>
      </c>
      <c r="BG106" s="95">
        <v>5.2083333333333336E-2</v>
      </c>
      <c r="BH106" s="95">
        <f t="shared" si="37"/>
        <v>3.4722222189884633E-3</v>
      </c>
      <c r="BI106" s="95">
        <f t="shared" si="37"/>
        <v>3.125E-2</v>
      </c>
      <c r="BJ106" s="95">
        <f t="shared" si="37"/>
        <v>0.17916666666860692</v>
      </c>
      <c r="BK106" s="95">
        <f t="shared" si="38"/>
        <v>0.21041666666860692</v>
      </c>
      <c r="BL106" s="95">
        <f t="shared" si="39"/>
        <v>0.10486111111305135</v>
      </c>
      <c r="BM106" s="95">
        <f t="shared" si="40"/>
        <v>5.5555555542620427E-3</v>
      </c>
      <c r="BN106" s="110"/>
    </row>
    <row r="107" spans="1:66" s="8" customFormat="1" ht="12.75" customHeight="1" x14ac:dyDescent="0.25">
      <c r="A107" s="90">
        <v>73</v>
      </c>
      <c r="B107" s="90">
        <v>73</v>
      </c>
      <c r="C107" s="90">
        <v>10</v>
      </c>
      <c r="D107" s="90" t="s">
        <v>148</v>
      </c>
      <c r="E107" s="91" t="s">
        <v>195</v>
      </c>
      <c r="F107" s="90" t="s">
        <v>16</v>
      </c>
      <c r="G107" s="90" t="s">
        <v>17</v>
      </c>
      <c r="H107" s="90" t="s">
        <v>150</v>
      </c>
      <c r="I107" s="92" t="s">
        <v>225</v>
      </c>
      <c r="J107" s="93">
        <v>45403</v>
      </c>
      <c r="K107" s="92" t="s">
        <v>122</v>
      </c>
      <c r="L107" s="92">
        <v>461000201</v>
      </c>
      <c r="M107" s="93">
        <v>45406</v>
      </c>
      <c r="N107" s="94">
        <v>45405.59375</v>
      </c>
      <c r="O107" s="94">
        <v>45405.59375</v>
      </c>
      <c r="P107" s="94">
        <v>45405.604166666664</v>
      </c>
      <c r="Q107" s="94">
        <v>45405.791666666664</v>
      </c>
      <c r="R107" s="114" t="s">
        <v>118</v>
      </c>
      <c r="S107" s="114" t="s">
        <v>118</v>
      </c>
      <c r="T107" s="114">
        <v>45406.027777777781</v>
      </c>
      <c r="U107" s="114">
        <v>45406.104166666664</v>
      </c>
      <c r="V107" s="95">
        <f t="shared" si="29"/>
        <v>0.19791666666424135</v>
      </c>
      <c r="W107" s="95">
        <v>0.20833333333333334</v>
      </c>
      <c r="X107" s="95" t="str">
        <f t="shared" si="30"/>
        <v>00:00</v>
      </c>
      <c r="Y107" s="96">
        <v>0</v>
      </c>
      <c r="Z107" s="96">
        <v>59</v>
      </c>
      <c r="AA107" s="96">
        <f t="shared" si="42"/>
        <v>59</v>
      </c>
      <c r="AB107" s="97">
        <f t="shared" si="43"/>
        <v>0</v>
      </c>
      <c r="AC107" s="97">
        <f t="shared" si="44"/>
        <v>4022.64</v>
      </c>
      <c r="AD107" s="98">
        <v>4022.64</v>
      </c>
      <c r="AE107" s="98">
        <v>4080</v>
      </c>
      <c r="AF107" s="98">
        <v>4085.4</v>
      </c>
      <c r="AG107" s="98">
        <f t="shared" si="45"/>
        <v>62.760000000000218</v>
      </c>
      <c r="AH107" s="99">
        <v>672.5</v>
      </c>
      <c r="AI107" s="100">
        <f t="shared" si="46"/>
        <v>2747431.5</v>
      </c>
      <c r="AJ107" s="100">
        <f t="shared" si="48"/>
        <v>0</v>
      </c>
      <c r="AK107" s="100">
        <v>0</v>
      </c>
      <c r="AL107" s="100">
        <v>24290</v>
      </c>
      <c r="AM107" s="100">
        <v>0</v>
      </c>
      <c r="AN107" s="100">
        <v>0</v>
      </c>
      <c r="AO107" s="100">
        <v>0</v>
      </c>
      <c r="AP107" s="100">
        <f t="shared" si="47"/>
        <v>138587</v>
      </c>
      <c r="AQ107" s="101">
        <f t="shared" si="33"/>
        <v>2910309</v>
      </c>
      <c r="AR107" s="101">
        <v>0</v>
      </c>
      <c r="AS107" s="101">
        <v>0</v>
      </c>
      <c r="AT107" s="102" t="s">
        <v>33</v>
      </c>
      <c r="AU107" s="109">
        <v>2</v>
      </c>
      <c r="AV107" s="100">
        <v>1.5</v>
      </c>
      <c r="AW107" s="105"/>
      <c r="AX107" s="106">
        <f t="shared" si="34"/>
        <v>1.5362020854751117</v>
      </c>
      <c r="AY107" s="101">
        <f t="shared" si="35"/>
        <v>42207</v>
      </c>
      <c r="AZ107" s="107"/>
      <c r="BA107" s="94">
        <v>45405.59375</v>
      </c>
      <c r="BB107" s="94">
        <v>45405.604166666664</v>
      </c>
      <c r="BC107" s="94">
        <v>45405.607638888891</v>
      </c>
      <c r="BD107" s="94">
        <v>45405.739583333336</v>
      </c>
      <c r="BE107" s="95">
        <f t="shared" si="36"/>
        <v>0.14583333333575865</v>
      </c>
      <c r="BF107" s="95">
        <v>3.472222222222222E-3</v>
      </c>
      <c r="BG107" s="95">
        <v>0</v>
      </c>
      <c r="BH107" s="95">
        <f t="shared" si="37"/>
        <v>1.0416666664241347E-2</v>
      </c>
      <c r="BI107" s="95">
        <f t="shared" si="37"/>
        <v>3.4722222262644209E-3</v>
      </c>
      <c r="BJ107" s="95">
        <f t="shared" si="37"/>
        <v>0.13194444444525288</v>
      </c>
      <c r="BK107" s="95">
        <f t="shared" si="38"/>
        <v>0.13541666667151731</v>
      </c>
      <c r="BL107" s="95">
        <f t="shared" si="39"/>
        <v>0.1319444444492951</v>
      </c>
      <c r="BM107" s="95" t="str">
        <f t="shared" si="40"/>
        <v>00:00</v>
      </c>
      <c r="BN107" s="110"/>
    </row>
    <row r="108" spans="1:66" s="8" customFormat="1" ht="12.75" customHeight="1" x14ac:dyDescent="0.25">
      <c r="A108" s="90">
        <v>74</v>
      </c>
      <c r="B108" s="90">
        <v>74</v>
      </c>
      <c r="C108" s="90">
        <v>13</v>
      </c>
      <c r="D108" s="90" t="s">
        <v>113</v>
      </c>
      <c r="E108" s="91" t="s">
        <v>188</v>
      </c>
      <c r="F108" s="90" t="s">
        <v>29</v>
      </c>
      <c r="G108" s="90" t="s">
        <v>15</v>
      </c>
      <c r="H108" s="90" t="s">
        <v>124</v>
      </c>
      <c r="I108" s="92" t="s">
        <v>226</v>
      </c>
      <c r="J108" s="93"/>
      <c r="K108" s="92" t="s">
        <v>117</v>
      </c>
      <c r="L108" s="92">
        <v>261005713</v>
      </c>
      <c r="M108" s="93">
        <v>45406</v>
      </c>
      <c r="N108" s="94">
        <v>45405.770833333336</v>
      </c>
      <c r="O108" s="94">
        <v>45405.770833333336</v>
      </c>
      <c r="P108" s="94">
        <v>45405.777777777781</v>
      </c>
      <c r="Q108" s="94">
        <v>45405.979166666664</v>
      </c>
      <c r="R108" s="114" t="s">
        <v>118</v>
      </c>
      <c r="S108" s="114" t="s">
        <v>118</v>
      </c>
      <c r="T108" s="114">
        <v>45406.333333333336</v>
      </c>
      <c r="U108" s="114">
        <v>45406.454861111109</v>
      </c>
      <c r="V108" s="95">
        <f t="shared" si="29"/>
        <v>0.20833333332848269</v>
      </c>
      <c r="W108" s="95">
        <v>0.20833333333333334</v>
      </c>
      <c r="X108" s="95" t="str">
        <f t="shared" si="30"/>
        <v>00:00</v>
      </c>
      <c r="Y108" s="96">
        <v>0</v>
      </c>
      <c r="Z108" s="96">
        <v>57</v>
      </c>
      <c r="AA108" s="96">
        <f t="shared" si="42"/>
        <v>57</v>
      </c>
      <c r="AB108" s="97">
        <f t="shared" si="43"/>
        <v>0</v>
      </c>
      <c r="AC108" s="97">
        <f t="shared" si="44"/>
        <v>3877.1099999999997</v>
      </c>
      <c r="AD108" s="98">
        <v>3877.11</v>
      </c>
      <c r="AE108" s="98">
        <v>3968</v>
      </c>
      <c r="AF108" s="98">
        <v>3970.8</v>
      </c>
      <c r="AG108" s="98">
        <f t="shared" si="45"/>
        <v>93.690000000000055</v>
      </c>
      <c r="AH108" s="99">
        <v>797.2</v>
      </c>
      <c r="AI108" s="100">
        <f t="shared" si="46"/>
        <v>3165521.7600000002</v>
      </c>
      <c r="AJ108" s="100">
        <f t="shared" si="48"/>
        <v>0</v>
      </c>
      <c r="AK108" s="100">
        <v>0</v>
      </c>
      <c r="AL108" s="100">
        <v>23990</v>
      </c>
      <c r="AM108" s="100">
        <v>0</v>
      </c>
      <c r="AN108" s="100">
        <v>0</v>
      </c>
      <c r="AO108" s="100">
        <v>0</v>
      </c>
      <c r="AP108" s="100">
        <f t="shared" si="47"/>
        <v>159476</v>
      </c>
      <c r="AQ108" s="101">
        <f t="shared" si="33"/>
        <v>3348988</v>
      </c>
      <c r="AR108" s="101">
        <v>0</v>
      </c>
      <c r="AS108" s="101">
        <v>0</v>
      </c>
      <c r="AT108" s="102" t="s">
        <v>33</v>
      </c>
      <c r="AU108" s="109">
        <v>1</v>
      </c>
      <c r="AV108" s="100">
        <v>1.5</v>
      </c>
      <c r="AW108" s="105"/>
      <c r="AX108" s="106">
        <f t="shared" si="34"/>
        <v>2.3594741613780612</v>
      </c>
      <c r="AY108" s="101">
        <f t="shared" si="35"/>
        <v>74690</v>
      </c>
      <c r="AZ108" s="107"/>
      <c r="BA108" s="94">
        <v>45405.770833333336</v>
      </c>
      <c r="BB108" s="94">
        <v>45405.777777777781</v>
      </c>
      <c r="BC108" s="94">
        <v>45405.8125</v>
      </c>
      <c r="BD108" s="94">
        <v>45405.993055555555</v>
      </c>
      <c r="BE108" s="95">
        <f t="shared" si="36"/>
        <v>0.22222222221898846</v>
      </c>
      <c r="BF108" s="95">
        <v>5.0694444444444445E-2</v>
      </c>
      <c r="BG108" s="95">
        <v>6.0416666666666667E-2</v>
      </c>
      <c r="BH108" s="95">
        <f t="shared" si="37"/>
        <v>6.9444444452528842E-3</v>
      </c>
      <c r="BI108" s="95">
        <f t="shared" si="37"/>
        <v>3.4722222218988463E-2</v>
      </c>
      <c r="BJ108" s="95">
        <f t="shared" si="37"/>
        <v>0.18055555555474712</v>
      </c>
      <c r="BK108" s="95">
        <f t="shared" si="38"/>
        <v>0.21527777777373558</v>
      </c>
      <c r="BL108" s="95">
        <f t="shared" si="39"/>
        <v>0.10416666666262447</v>
      </c>
      <c r="BM108" s="95">
        <f t="shared" si="40"/>
        <v>1.3888888885655121E-2</v>
      </c>
      <c r="BN108" s="110"/>
    </row>
    <row r="109" spans="1:66" s="8" customFormat="1" ht="12.75" customHeight="1" x14ac:dyDescent="0.25">
      <c r="A109" s="90">
        <v>75</v>
      </c>
      <c r="B109" s="90">
        <v>75</v>
      </c>
      <c r="C109" s="90">
        <v>11</v>
      </c>
      <c r="D109" s="90" t="s">
        <v>148</v>
      </c>
      <c r="E109" s="91" t="s">
        <v>195</v>
      </c>
      <c r="F109" s="90" t="s">
        <v>16</v>
      </c>
      <c r="G109" s="90" t="s">
        <v>17</v>
      </c>
      <c r="H109" s="90" t="s">
        <v>150</v>
      </c>
      <c r="I109" s="92" t="s">
        <v>227</v>
      </c>
      <c r="J109" s="93">
        <v>45405</v>
      </c>
      <c r="K109" s="92" t="s">
        <v>122</v>
      </c>
      <c r="L109" s="92">
        <v>461000202</v>
      </c>
      <c r="M109" s="93">
        <v>45406</v>
      </c>
      <c r="N109" s="94">
        <v>45406.458333333336</v>
      </c>
      <c r="O109" s="94">
        <v>45406.458333333336</v>
      </c>
      <c r="P109" s="94">
        <v>45406.465277777781</v>
      </c>
      <c r="Q109" s="94">
        <v>45406.666666666664</v>
      </c>
      <c r="R109" s="114" t="s">
        <v>118</v>
      </c>
      <c r="S109" s="114" t="s">
        <v>118</v>
      </c>
      <c r="T109" s="114">
        <v>45406.6875</v>
      </c>
      <c r="U109" s="114">
        <v>45406.772222222222</v>
      </c>
      <c r="V109" s="95">
        <f t="shared" si="29"/>
        <v>0.20833333332848269</v>
      </c>
      <c r="W109" s="95">
        <v>0.20833333333333334</v>
      </c>
      <c r="X109" s="95" t="str">
        <f t="shared" si="30"/>
        <v>00:00</v>
      </c>
      <c r="Y109" s="96">
        <v>0</v>
      </c>
      <c r="Z109" s="96">
        <v>58</v>
      </c>
      <c r="AA109" s="96">
        <f t="shared" si="42"/>
        <v>58</v>
      </c>
      <c r="AB109" s="97">
        <f t="shared" si="43"/>
        <v>0</v>
      </c>
      <c r="AC109" s="97">
        <f t="shared" si="44"/>
        <v>3921.43</v>
      </c>
      <c r="AD109" s="98">
        <v>3921.43</v>
      </c>
      <c r="AE109" s="98">
        <v>4023.8</v>
      </c>
      <c r="AF109" s="98">
        <v>4024</v>
      </c>
      <c r="AG109" s="98">
        <f t="shared" si="45"/>
        <v>102.57000000000016</v>
      </c>
      <c r="AH109" s="99">
        <v>672.5</v>
      </c>
      <c r="AI109" s="100">
        <f t="shared" si="46"/>
        <v>2706140</v>
      </c>
      <c r="AJ109" s="100">
        <f t="shared" si="48"/>
        <v>0</v>
      </c>
      <c r="AK109" s="100">
        <v>0</v>
      </c>
      <c r="AL109" s="100">
        <v>0</v>
      </c>
      <c r="AM109" s="100">
        <v>0</v>
      </c>
      <c r="AN109" s="100">
        <v>0</v>
      </c>
      <c r="AO109" s="100">
        <v>0</v>
      </c>
      <c r="AP109" s="100">
        <f t="shared" si="47"/>
        <v>135307</v>
      </c>
      <c r="AQ109" s="101">
        <f t="shared" si="33"/>
        <v>2841447</v>
      </c>
      <c r="AR109" s="101">
        <v>0</v>
      </c>
      <c r="AS109" s="101">
        <v>0</v>
      </c>
      <c r="AT109" s="102" t="s">
        <v>33</v>
      </c>
      <c r="AU109" s="109" t="s">
        <v>118</v>
      </c>
      <c r="AV109" s="100">
        <v>0</v>
      </c>
      <c r="AW109" s="105"/>
      <c r="AX109" s="106">
        <f t="shared" si="34"/>
        <v>2.5489562624254511</v>
      </c>
      <c r="AY109" s="101">
        <f t="shared" si="35"/>
        <v>68979</v>
      </c>
      <c r="AZ109" s="107"/>
      <c r="BA109" s="94">
        <v>45406.458333333336</v>
      </c>
      <c r="BB109" s="94">
        <v>45406.465277777781</v>
      </c>
      <c r="BC109" s="94">
        <v>45406.475694444445</v>
      </c>
      <c r="BD109" s="94">
        <v>45406.663194444445</v>
      </c>
      <c r="BE109" s="95">
        <f t="shared" si="36"/>
        <v>0.20486111110949423</v>
      </c>
      <c r="BF109" s="95">
        <v>5.2777777777777778E-2</v>
      </c>
      <c r="BG109" s="95">
        <v>3.472222222222222E-3</v>
      </c>
      <c r="BH109" s="95">
        <f t="shared" si="37"/>
        <v>6.9444444452528842E-3</v>
      </c>
      <c r="BI109" s="95">
        <f t="shared" si="37"/>
        <v>1.0416666664241347E-2</v>
      </c>
      <c r="BJ109" s="95">
        <f t="shared" si="37"/>
        <v>0.1875</v>
      </c>
      <c r="BK109" s="95">
        <f t="shared" si="38"/>
        <v>0.19791666666424135</v>
      </c>
      <c r="BL109" s="95">
        <f t="shared" si="39"/>
        <v>0.14166666666424135</v>
      </c>
      <c r="BM109" s="95" t="str">
        <f t="shared" si="40"/>
        <v>00:00</v>
      </c>
      <c r="BN109" s="110"/>
    </row>
    <row r="110" spans="1:66" s="8" customFormat="1" ht="12.75" customHeight="1" x14ac:dyDescent="0.25">
      <c r="A110" s="90">
        <v>76</v>
      </c>
      <c r="B110" s="90">
        <v>76</v>
      </c>
      <c r="C110" s="90">
        <v>5</v>
      </c>
      <c r="D110" s="90" t="s">
        <v>113</v>
      </c>
      <c r="E110" s="91" t="s">
        <v>140</v>
      </c>
      <c r="F110" s="90" t="s">
        <v>25</v>
      </c>
      <c r="G110" s="90" t="s">
        <v>12</v>
      </c>
      <c r="H110" s="90" t="s">
        <v>115</v>
      </c>
      <c r="I110" s="92" t="s">
        <v>228</v>
      </c>
      <c r="J110" s="93">
        <v>45405</v>
      </c>
      <c r="K110" s="92" t="s">
        <v>117</v>
      </c>
      <c r="L110" s="92">
        <v>282000893</v>
      </c>
      <c r="M110" s="93">
        <v>45407</v>
      </c>
      <c r="N110" s="94">
        <v>45406.729166666664</v>
      </c>
      <c r="O110" s="94">
        <v>45406.729166666664</v>
      </c>
      <c r="P110" s="94">
        <v>45406.736111111109</v>
      </c>
      <c r="Q110" s="94">
        <v>45406.916666666664</v>
      </c>
      <c r="R110" s="114" t="s">
        <v>118</v>
      </c>
      <c r="S110" s="114" t="s">
        <v>118</v>
      </c>
      <c r="T110" s="114">
        <v>45406.979166666664</v>
      </c>
      <c r="U110" s="114">
        <v>45407.072916666664</v>
      </c>
      <c r="V110" s="95">
        <f t="shared" si="29"/>
        <v>0.1875</v>
      </c>
      <c r="W110" s="95">
        <v>0.20833333333333334</v>
      </c>
      <c r="X110" s="95" t="str">
        <f t="shared" si="30"/>
        <v>00:00</v>
      </c>
      <c r="Y110" s="96">
        <v>0</v>
      </c>
      <c r="Z110" s="96">
        <v>59</v>
      </c>
      <c r="AA110" s="96">
        <f t="shared" si="42"/>
        <v>59</v>
      </c>
      <c r="AB110" s="97">
        <f t="shared" si="43"/>
        <v>0</v>
      </c>
      <c r="AC110" s="97">
        <f t="shared" si="44"/>
        <v>3986.9199999999996</v>
      </c>
      <c r="AD110" s="98">
        <v>3986.92</v>
      </c>
      <c r="AE110" s="98">
        <v>4066.7</v>
      </c>
      <c r="AF110" s="98">
        <v>4076.6</v>
      </c>
      <c r="AG110" s="98">
        <f t="shared" si="45"/>
        <v>89.679999999999836</v>
      </c>
      <c r="AH110" s="99">
        <v>1586.7</v>
      </c>
      <c r="AI110" s="100">
        <f t="shared" si="46"/>
        <v>6468341.2199999997</v>
      </c>
      <c r="AJ110" s="100">
        <f t="shared" si="48"/>
        <v>0</v>
      </c>
      <c r="AK110" s="100">
        <v>0</v>
      </c>
      <c r="AL110" s="100">
        <v>24290</v>
      </c>
      <c r="AM110" s="100">
        <v>0</v>
      </c>
      <c r="AN110" s="100">
        <v>0</v>
      </c>
      <c r="AO110" s="100">
        <f>IFERROR(AF110*20+(((AJ110/AH110)/2)*20),0)</f>
        <v>81532</v>
      </c>
      <c r="AP110" s="100">
        <f t="shared" si="47"/>
        <v>328709</v>
      </c>
      <c r="AQ110" s="101">
        <f t="shared" si="33"/>
        <v>6902873</v>
      </c>
      <c r="AR110" s="101">
        <v>0</v>
      </c>
      <c r="AS110" s="101">
        <v>0</v>
      </c>
      <c r="AT110" s="102" t="s">
        <v>33</v>
      </c>
      <c r="AU110" s="109">
        <v>5</v>
      </c>
      <c r="AV110" s="100">
        <v>4</v>
      </c>
      <c r="AW110" s="105"/>
      <c r="AX110" s="106">
        <f t="shared" si="34"/>
        <v>2.1998724427218721</v>
      </c>
      <c r="AY110" s="101">
        <f t="shared" si="35"/>
        <v>142296</v>
      </c>
      <c r="AZ110" s="107"/>
      <c r="BA110" s="94">
        <v>45406.729166666664</v>
      </c>
      <c r="BB110" s="94">
        <v>45406.736111111109</v>
      </c>
      <c r="BC110" s="94">
        <v>45406.741666666669</v>
      </c>
      <c r="BD110" s="94">
        <v>45406.898611111108</v>
      </c>
      <c r="BE110" s="95">
        <f t="shared" si="36"/>
        <v>0.16944444444379769</v>
      </c>
      <c r="BF110" s="95">
        <v>9.0277777777777769E-3</v>
      </c>
      <c r="BG110" s="95">
        <v>5.5555555555555558E-3</v>
      </c>
      <c r="BH110" s="95">
        <f t="shared" si="37"/>
        <v>6.9444444452528842E-3</v>
      </c>
      <c r="BI110" s="95">
        <f t="shared" si="37"/>
        <v>5.5555555591126904E-3</v>
      </c>
      <c r="BJ110" s="95">
        <f t="shared" si="37"/>
        <v>0.15694444443943212</v>
      </c>
      <c r="BK110" s="95">
        <f t="shared" si="38"/>
        <v>0.16249999999854481</v>
      </c>
      <c r="BL110" s="95">
        <f t="shared" si="39"/>
        <v>0.14791666666521147</v>
      </c>
      <c r="BM110" s="95" t="str">
        <f t="shared" si="40"/>
        <v>00:00</v>
      </c>
      <c r="BN110" s="110"/>
    </row>
    <row r="111" spans="1:66" s="8" customFormat="1" ht="12.75" customHeight="1" x14ac:dyDescent="0.25">
      <c r="A111" s="90">
        <v>77</v>
      </c>
      <c r="B111" s="90">
        <v>77</v>
      </c>
      <c r="C111" s="90">
        <v>12</v>
      </c>
      <c r="D111" s="90" t="s">
        <v>148</v>
      </c>
      <c r="E111" s="91" t="s">
        <v>195</v>
      </c>
      <c r="F111" s="90" t="s">
        <v>16</v>
      </c>
      <c r="G111" s="90" t="s">
        <v>17</v>
      </c>
      <c r="H111" s="90" t="s">
        <v>150</v>
      </c>
      <c r="I111" s="92" t="s">
        <v>229</v>
      </c>
      <c r="J111" s="93">
        <v>45405</v>
      </c>
      <c r="K111" s="92" t="s">
        <v>122</v>
      </c>
      <c r="L111" s="92">
        <v>461000203</v>
      </c>
      <c r="M111" s="93">
        <v>45407</v>
      </c>
      <c r="N111" s="94">
        <v>45406.854166666664</v>
      </c>
      <c r="O111" s="94">
        <v>45406.854166666664</v>
      </c>
      <c r="P111" s="94">
        <v>45406.857638888891</v>
      </c>
      <c r="Q111" s="94">
        <v>45407.0625</v>
      </c>
      <c r="R111" s="114" t="s">
        <v>118</v>
      </c>
      <c r="S111" s="114">
        <v>45407.107638888891</v>
      </c>
      <c r="T111" s="114">
        <v>45407.166666666664</v>
      </c>
      <c r="U111" s="114">
        <v>45407.326388888891</v>
      </c>
      <c r="V111" s="95">
        <f t="shared" si="29"/>
        <v>0.20833333333575865</v>
      </c>
      <c r="W111" s="95">
        <v>0.20833333333333334</v>
      </c>
      <c r="X111" s="95">
        <f t="shared" si="30"/>
        <v>2.4253099528692701E-12</v>
      </c>
      <c r="Y111" s="96">
        <v>0</v>
      </c>
      <c r="Z111" s="96">
        <v>58</v>
      </c>
      <c r="AA111" s="96">
        <f t="shared" si="42"/>
        <v>58</v>
      </c>
      <c r="AB111" s="97">
        <f t="shared" si="43"/>
        <v>0</v>
      </c>
      <c r="AC111" s="97">
        <f t="shared" si="44"/>
        <v>4012.74</v>
      </c>
      <c r="AD111" s="98">
        <v>4012.74</v>
      </c>
      <c r="AE111" s="98">
        <v>4031.8</v>
      </c>
      <c r="AF111" s="98">
        <v>4047.2</v>
      </c>
      <c r="AG111" s="98">
        <f t="shared" si="45"/>
        <v>34.460000000000036</v>
      </c>
      <c r="AH111" s="99">
        <v>672.5</v>
      </c>
      <c r="AI111" s="100">
        <f t="shared" si="46"/>
        <v>2721742</v>
      </c>
      <c r="AJ111" s="100">
        <f t="shared" si="48"/>
        <v>0</v>
      </c>
      <c r="AK111" s="100">
        <v>0</v>
      </c>
      <c r="AL111" s="100">
        <v>24140</v>
      </c>
      <c r="AM111" s="100">
        <v>0</v>
      </c>
      <c r="AN111" s="100">
        <v>0</v>
      </c>
      <c r="AO111" s="100">
        <v>0</v>
      </c>
      <c r="AP111" s="100">
        <f t="shared" si="47"/>
        <v>137295</v>
      </c>
      <c r="AQ111" s="101">
        <f t="shared" si="33"/>
        <v>2883177</v>
      </c>
      <c r="AR111" s="101">
        <v>0</v>
      </c>
      <c r="AS111" s="101">
        <v>0</v>
      </c>
      <c r="AT111" s="102" t="s">
        <v>33</v>
      </c>
      <c r="AU111" s="109">
        <v>5</v>
      </c>
      <c r="AV111" s="100">
        <v>3.5</v>
      </c>
      <c r="AW111" s="105"/>
      <c r="AX111" s="106">
        <f t="shared" si="34"/>
        <v>0.85145285629571155</v>
      </c>
      <c r="AY111" s="101">
        <f t="shared" si="35"/>
        <v>23175</v>
      </c>
      <c r="AZ111" s="107"/>
      <c r="BA111" s="94">
        <v>45406.854166666664</v>
      </c>
      <c r="BB111" s="94">
        <v>45406.857638888891</v>
      </c>
      <c r="BC111" s="94">
        <v>45406.915277777778</v>
      </c>
      <c r="BD111" s="94">
        <v>45407.097222222219</v>
      </c>
      <c r="BE111" s="95">
        <f t="shared" si="36"/>
        <v>0.24305555555474712</v>
      </c>
      <c r="BF111" s="95">
        <v>9.7222222222222224E-3</v>
      </c>
      <c r="BG111" s="95">
        <v>8.5416666666666669E-2</v>
      </c>
      <c r="BH111" s="95">
        <f t="shared" si="37"/>
        <v>3.4722222262644209E-3</v>
      </c>
      <c r="BI111" s="95">
        <f t="shared" si="37"/>
        <v>5.7638888887595385E-2</v>
      </c>
      <c r="BJ111" s="95">
        <f t="shared" si="37"/>
        <v>0.18194444444088731</v>
      </c>
      <c r="BK111" s="95">
        <f t="shared" si="38"/>
        <v>0.23958333332848269</v>
      </c>
      <c r="BL111" s="95">
        <f t="shared" si="39"/>
        <v>0.14444444443959381</v>
      </c>
      <c r="BM111" s="95">
        <f t="shared" si="40"/>
        <v>3.4722222221413773E-2</v>
      </c>
      <c r="BN111" s="110"/>
    </row>
    <row r="112" spans="1:66" s="8" customFormat="1" ht="12.75" customHeight="1" x14ac:dyDescent="0.25">
      <c r="A112" s="90">
        <v>78</v>
      </c>
      <c r="B112" s="90">
        <v>78</v>
      </c>
      <c r="C112" s="90">
        <v>14</v>
      </c>
      <c r="D112" s="90" t="s">
        <v>113</v>
      </c>
      <c r="E112" s="91" t="s">
        <v>188</v>
      </c>
      <c r="F112" s="90" t="s">
        <v>29</v>
      </c>
      <c r="G112" s="90" t="s">
        <v>15</v>
      </c>
      <c r="H112" s="90" t="s">
        <v>124</v>
      </c>
      <c r="I112" s="92" t="s">
        <v>230</v>
      </c>
      <c r="J112" s="93"/>
      <c r="K112" s="92" t="s">
        <v>117</v>
      </c>
      <c r="L112" s="92">
        <v>261005714</v>
      </c>
      <c r="M112" s="93">
        <v>45407</v>
      </c>
      <c r="N112" s="94">
        <v>45407.104166666664</v>
      </c>
      <c r="O112" s="94">
        <v>45407.104166666664</v>
      </c>
      <c r="P112" s="94">
        <v>45407.114583333336</v>
      </c>
      <c r="Q112" s="94">
        <v>45407.3125</v>
      </c>
      <c r="R112" s="114" t="s">
        <v>118</v>
      </c>
      <c r="S112" s="114">
        <v>45407.354166666664</v>
      </c>
      <c r="T112" s="114">
        <v>45407.40625</v>
      </c>
      <c r="U112" s="114">
        <v>45407.513888888891</v>
      </c>
      <c r="V112" s="95">
        <f t="shared" si="29"/>
        <v>0.20833333333575865</v>
      </c>
      <c r="W112" s="95">
        <v>0.20833333333333334</v>
      </c>
      <c r="X112" s="95">
        <f t="shared" si="30"/>
        <v>2.4253099528692701E-12</v>
      </c>
      <c r="Y112" s="96">
        <v>0</v>
      </c>
      <c r="Z112" s="96">
        <v>59</v>
      </c>
      <c r="AA112" s="96">
        <f t="shared" si="42"/>
        <v>59</v>
      </c>
      <c r="AB112" s="97">
        <f t="shared" si="43"/>
        <v>0</v>
      </c>
      <c r="AC112" s="97">
        <f t="shared" si="44"/>
        <v>4061.44</v>
      </c>
      <c r="AD112" s="98">
        <v>4061.44</v>
      </c>
      <c r="AE112" s="98">
        <v>4125.3999999999996</v>
      </c>
      <c r="AF112" s="98">
        <v>4136</v>
      </c>
      <c r="AG112" s="98">
        <f t="shared" si="45"/>
        <v>74.559999999999945</v>
      </c>
      <c r="AH112" s="99">
        <v>797.2</v>
      </c>
      <c r="AI112" s="100">
        <f t="shared" si="46"/>
        <v>3297219.2</v>
      </c>
      <c r="AJ112" s="100">
        <f t="shared" si="48"/>
        <v>0</v>
      </c>
      <c r="AK112" s="100">
        <v>0</v>
      </c>
      <c r="AL112" s="100">
        <v>24290</v>
      </c>
      <c r="AM112" s="100">
        <v>0</v>
      </c>
      <c r="AN112" s="100">
        <v>0</v>
      </c>
      <c r="AO112" s="100">
        <v>0</v>
      </c>
      <c r="AP112" s="100">
        <f t="shared" si="47"/>
        <v>166076</v>
      </c>
      <c r="AQ112" s="101">
        <f t="shared" si="33"/>
        <v>3487586</v>
      </c>
      <c r="AR112" s="101">
        <v>0</v>
      </c>
      <c r="AS112" s="101">
        <v>0</v>
      </c>
      <c r="AT112" s="102" t="s">
        <v>33</v>
      </c>
      <c r="AU112" s="109">
        <v>4</v>
      </c>
      <c r="AV112" s="100">
        <v>2.5</v>
      </c>
      <c r="AW112" s="105"/>
      <c r="AX112" s="106">
        <f t="shared" si="34"/>
        <v>1.8027079303675035</v>
      </c>
      <c r="AY112" s="101">
        <f t="shared" si="35"/>
        <v>59440</v>
      </c>
      <c r="AZ112" s="107"/>
      <c r="BA112" s="94">
        <v>45407.104166666664</v>
      </c>
      <c r="BB112" s="94">
        <v>45407.114583333336</v>
      </c>
      <c r="BC112" s="94">
        <v>45407.138888888891</v>
      </c>
      <c r="BD112" s="94">
        <v>45407.354166666664</v>
      </c>
      <c r="BE112" s="95">
        <f t="shared" si="36"/>
        <v>0.25</v>
      </c>
      <c r="BF112" s="95">
        <v>2.361111111111111E-2</v>
      </c>
      <c r="BG112" s="95">
        <v>6.5277777777777782E-2</v>
      </c>
      <c r="BH112" s="95">
        <f t="shared" si="37"/>
        <v>1.0416666671517305E-2</v>
      </c>
      <c r="BI112" s="95">
        <f t="shared" si="37"/>
        <v>2.4305555554747116E-2</v>
      </c>
      <c r="BJ112" s="95">
        <f t="shared" si="37"/>
        <v>0.21527777777373558</v>
      </c>
      <c r="BK112" s="95">
        <f t="shared" si="38"/>
        <v>0.23958333332848269</v>
      </c>
      <c r="BL112" s="95">
        <f t="shared" si="39"/>
        <v>0.15069444443959379</v>
      </c>
      <c r="BM112" s="95">
        <f t="shared" si="40"/>
        <v>4.1666666666666657E-2</v>
      </c>
      <c r="BN112" s="110"/>
    </row>
    <row r="113" spans="1:66" s="8" customFormat="1" ht="12.75" customHeight="1" x14ac:dyDescent="0.25">
      <c r="A113" s="90">
        <v>79</v>
      </c>
      <c r="B113" s="90">
        <v>79</v>
      </c>
      <c r="C113" s="90">
        <v>13</v>
      </c>
      <c r="D113" s="90" t="s">
        <v>148</v>
      </c>
      <c r="E113" s="91" t="s">
        <v>195</v>
      </c>
      <c r="F113" s="90" t="s">
        <v>16</v>
      </c>
      <c r="G113" s="90" t="s">
        <v>17</v>
      </c>
      <c r="H113" s="90" t="s">
        <v>150</v>
      </c>
      <c r="I113" s="92" t="s">
        <v>231</v>
      </c>
      <c r="J113" s="93">
        <v>45406</v>
      </c>
      <c r="K113" s="92" t="s">
        <v>122</v>
      </c>
      <c r="L113" s="92">
        <v>461000204</v>
      </c>
      <c r="M113" s="93">
        <v>45407</v>
      </c>
      <c r="N113" s="94">
        <v>45407.375</v>
      </c>
      <c r="O113" s="94">
        <v>45407.375</v>
      </c>
      <c r="P113" s="94">
        <v>45407.381944444445</v>
      </c>
      <c r="Q113" s="94">
        <v>45407.572916666664</v>
      </c>
      <c r="R113" s="114" t="s">
        <v>118</v>
      </c>
      <c r="S113" s="114" t="s">
        <v>118</v>
      </c>
      <c r="T113" s="114">
        <v>45407.697916666664</v>
      </c>
      <c r="U113" s="114">
        <v>45407.809027777781</v>
      </c>
      <c r="V113" s="95">
        <f t="shared" si="29"/>
        <v>0.19791666666424135</v>
      </c>
      <c r="W113" s="95">
        <v>0.20833333333333334</v>
      </c>
      <c r="X113" s="95" t="str">
        <f t="shared" si="30"/>
        <v>00:00</v>
      </c>
      <c r="Y113" s="96">
        <v>0</v>
      </c>
      <c r="Z113" s="96">
        <v>58</v>
      </c>
      <c r="AA113" s="96">
        <f t="shared" si="42"/>
        <v>58</v>
      </c>
      <c r="AB113" s="97">
        <f t="shared" si="43"/>
        <v>0</v>
      </c>
      <c r="AC113" s="97">
        <f t="shared" si="44"/>
        <v>3993.31</v>
      </c>
      <c r="AD113" s="98">
        <v>3993.31</v>
      </c>
      <c r="AE113" s="98">
        <v>4027.6</v>
      </c>
      <c r="AF113" s="98">
        <v>4040.6</v>
      </c>
      <c r="AG113" s="98">
        <f t="shared" si="45"/>
        <v>47.289999999999964</v>
      </c>
      <c r="AH113" s="99">
        <v>672.5</v>
      </c>
      <c r="AI113" s="100">
        <f t="shared" si="46"/>
        <v>2717303.5</v>
      </c>
      <c r="AJ113" s="100">
        <f t="shared" si="48"/>
        <v>0</v>
      </c>
      <c r="AK113" s="100">
        <v>0</v>
      </c>
      <c r="AL113" s="100">
        <v>24140</v>
      </c>
      <c r="AM113" s="100">
        <v>0</v>
      </c>
      <c r="AN113" s="100">
        <v>0</v>
      </c>
      <c r="AO113" s="100">
        <v>0</v>
      </c>
      <c r="AP113" s="100">
        <f t="shared" si="47"/>
        <v>137073</v>
      </c>
      <c r="AQ113" s="101">
        <f t="shared" si="33"/>
        <v>2878517</v>
      </c>
      <c r="AR113" s="101">
        <v>0</v>
      </c>
      <c r="AS113" s="101">
        <v>0</v>
      </c>
      <c r="AT113" s="102" t="s">
        <v>33</v>
      </c>
      <c r="AU113" s="109">
        <v>9</v>
      </c>
      <c r="AV113" s="100">
        <v>6.5</v>
      </c>
      <c r="AW113" s="105"/>
      <c r="AX113" s="106">
        <f t="shared" si="34"/>
        <v>1.1703707370192538</v>
      </c>
      <c r="AY113" s="101">
        <f t="shared" si="35"/>
        <v>31803</v>
      </c>
      <c r="AZ113" s="107"/>
      <c r="BA113" s="94">
        <v>45407.375</v>
      </c>
      <c r="BB113" s="94">
        <v>45407.381944444445</v>
      </c>
      <c r="BC113" s="94">
        <v>45407.39166666667</v>
      </c>
      <c r="BD113" s="94">
        <v>45407.531944444447</v>
      </c>
      <c r="BE113" s="95">
        <f t="shared" si="36"/>
        <v>0.15694444444670808</v>
      </c>
      <c r="BF113" s="95">
        <v>1.3194444444444444E-2</v>
      </c>
      <c r="BG113" s="95">
        <v>0</v>
      </c>
      <c r="BH113" s="95">
        <f t="shared" si="37"/>
        <v>6.9444444452528842E-3</v>
      </c>
      <c r="BI113" s="95">
        <f t="shared" si="37"/>
        <v>9.7222222248092294E-3</v>
      </c>
      <c r="BJ113" s="95">
        <f t="shared" si="37"/>
        <v>0.14027777777664596</v>
      </c>
      <c r="BK113" s="95">
        <f t="shared" si="38"/>
        <v>0.15000000000145519</v>
      </c>
      <c r="BL113" s="95">
        <f t="shared" si="39"/>
        <v>0.13680555555701074</v>
      </c>
      <c r="BM113" s="95" t="str">
        <f t="shared" si="40"/>
        <v>00:00</v>
      </c>
      <c r="BN113" s="110"/>
    </row>
    <row r="114" spans="1:66" s="8" customFormat="1" ht="12.75" customHeight="1" x14ac:dyDescent="0.25">
      <c r="A114" s="90">
        <v>80</v>
      </c>
      <c r="B114" s="90">
        <v>80</v>
      </c>
      <c r="C114" s="90">
        <v>4</v>
      </c>
      <c r="D114" s="90" t="s">
        <v>113</v>
      </c>
      <c r="E114" s="91" t="s">
        <v>173</v>
      </c>
      <c r="F114" s="90" t="s">
        <v>27</v>
      </c>
      <c r="G114" s="90" t="s">
        <v>12</v>
      </c>
      <c r="H114" s="90" t="s">
        <v>115</v>
      </c>
      <c r="I114" s="92" t="s">
        <v>232</v>
      </c>
      <c r="J114" s="93">
        <v>45406</v>
      </c>
      <c r="K114" s="92" t="s">
        <v>117</v>
      </c>
      <c r="L114" s="92">
        <v>282000894</v>
      </c>
      <c r="M114" s="93">
        <v>45408</v>
      </c>
      <c r="N114" s="94">
        <v>45407.552083333336</v>
      </c>
      <c r="O114" s="94">
        <v>45407.552083333336</v>
      </c>
      <c r="P114" s="94">
        <v>45407.572916666664</v>
      </c>
      <c r="Q114" s="94">
        <v>45407.75</v>
      </c>
      <c r="R114" s="114" t="s">
        <v>118</v>
      </c>
      <c r="S114" s="114" t="s">
        <v>118</v>
      </c>
      <c r="T114" s="114">
        <v>45407.881944444445</v>
      </c>
      <c r="U114" s="114">
        <v>45408.012499999997</v>
      </c>
      <c r="V114" s="95">
        <f t="shared" si="29"/>
        <v>0.19791666666424135</v>
      </c>
      <c r="W114" s="95">
        <v>0.20833333333333334</v>
      </c>
      <c r="X114" s="95" t="str">
        <f t="shared" si="30"/>
        <v>00:00</v>
      </c>
      <c r="Y114" s="96">
        <v>0</v>
      </c>
      <c r="Z114" s="96">
        <v>58</v>
      </c>
      <c r="AA114" s="96">
        <f t="shared" si="42"/>
        <v>58</v>
      </c>
      <c r="AB114" s="97">
        <f t="shared" si="43"/>
        <v>0</v>
      </c>
      <c r="AC114" s="97">
        <f t="shared" si="44"/>
        <v>3942.54</v>
      </c>
      <c r="AD114" s="98">
        <v>3942.54</v>
      </c>
      <c r="AE114" s="98">
        <v>4036</v>
      </c>
      <c r="AF114" s="98">
        <v>4041</v>
      </c>
      <c r="AG114" s="98">
        <f t="shared" si="45"/>
        <v>98.460000000000036</v>
      </c>
      <c r="AH114" s="99">
        <v>1586.7</v>
      </c>
      <c r="AI114" s="100">
        <f t="shared" si="46"/>
        <v>6411854.7000000002</v>
      </c>
      <c r="AJ114" s="100">
        <f t="shared" si="48"/>
        <v>0</v>
      </c>
      <c r="AK114" s="100">
        <v>0</v>
      </c>
      <c r="AL114" s="100">
        <v>24140</v>
      </c>
      <c r="AM114" s="100">
        <v>0</v>
      </c>
      <c r="AN114" s="100">
        <v>0</v>
      </c>
      <c r="AO114" s="100">
        <f>IFERROR(AF114*20+(((AJ114/AH114)/2)*20),0)</f>
        <v>80820</v>
      </c>
      <c r="AP114" s="100">
        <f t="shared" si="47"/>
        <v>325841</v>
      </c>
      <c r="AQ114" s="101">
        <f t="shared" si="33"/>
        <v>6842656</v>
      </c>
      <c r="AR114" s="101">
        <v>0</v>
      </c>
      <c r="AS114" s="101">
        <v>0</v>
      </c>
      <c r="AT114" s="102" t="s">
        <v>33</v>
      </c>
      <c r="AU114" s="109">
        <v>4</v>
      </c>
      <c r="AV114" s="100">
        <v>3.5</v>
      </c>
      <c r="AW114" s="105"/>
      <c r="AX114" s="106">
        <f t="shared" si="34"/>
        <v>2.4365256124721615</v>
      </c>
      <c r="AY114" s="101">
        <f t="shared" si="35"/>
        <v>156227</v>
      </c>
      <c r="AZ114" s="107"/>
      <c r="BA114" s="94">
        <v>45407.552083333336</v>
      </c>
      <c r="BB114" s="94">
        <v>45407.572916666664</v>
      </c>
      <c r="BC114" s="94">
        <v>45407.586805555555</v>
      </c>
      <c r="BD114" s="94">
        <v>45407.743055555555</v>
      </c>
      <c r="BE114" s="95">
        <f t="shared" si="36"/>
        <v>0.19097222221898846</v>
      </c>
      <c r="BF114" s="95">
        <v>6.9444444444444441E-3</v>
      </c>
      <c r="BG114" s="95">
        <v>2.2916666666666665E-2</v>
      </c>
      <c r="BH114" s="95">
        <f t="shared" si="37"/>
        <v>2.0833333328482695E-2</v>
      </c>
      <c r="BI114" s="95">
        <f t="shared" si="37"/>
        <v>1.3888888890505768E-2</v>
      </c>
      <c r="BJ114" s="95">
        <f t="shared" si="37"/>
        <v>0.15625</v>
      </c>
      <c r="BK114" s="95">
        <f t="shared" si="38"/>
        <v>0.17013888889050577</v>
      </c>
      <c r="BL114" s="95">
        <f t="shared" si="39"/>
        <v>0.14027777777939465</v>
      </c>
      <c r="BM114" s="95" t="str">
        <f t="shared" si="40"/>
        <v>00:00</v>
      </c>
      <c r="BN114" s="110"/>
    </row>
    <row r="115" spans="1:66" s="8" customFormat="1" ht="12.75" customHeight="1" x14ac:dyDescent="0.25">
      <c r="A115" s="115">
        <v>81</v>
      </c>
      <c r="B115" s="115">
        <v>81</v>
      </c>
      <c r="C115" s="115">
        <v>14</v>
      </c>
      <c r="D115" s="115" t="s">
        <v>148</v>
      </c>
      <c r="E115" s="91" t="s">
        <v>195</v>
      </c>
      <c r="F115" s="115" t="s">
        <v>16</v>
      </c>
      <c r="G115" s="115" t="s">
        <v>17</v>
      </c>
      <c r="H115" s="115" t="s">
        <v>150</v>
      </c>
      <c r="I115" s="116" t="s">
        <v>233</v>
      </c>
      <c r="J115" s="117">
        <v>45406</v>
      </c>
      <c r="K115" s="92" t="s">
        <v>122</v>
      </c>
      <c r="L115" s="116">
        <v>461000205</v>
      </c>
      <c r="M115" s="117">
        <v>45408</v>
      </c>
      <c r="N115" s="118">
        <v>45407.8125</v>
      </c>
      <c r="O115" s="118">
        <v>45407.8125</v>
      </c>
      <c r="P115" s="118">
        <v>45407.854166666664</v>
      </c>
      <c r="Q115" s="118">
        <v>45407.989583333336</v>
      </c>
      <c r="R115" s="118">
        <v>45407.850694444445</v>
      </c>
      <c r="S115" s="118" t="s">
        <v>118</v>
      </c>
      <c r="T115" s="118">
        <v>45408.059027777781</v>
      </c>
      <c r="U115" s="118">
        <v>45408.1875</v>
      </c>
      <c r="V115" s="119">
        <f t="shared" si="29"/>
        <v>0.17708333333575865</v>
      </c>
      <c r="W115" s="119">
        <v>0.20833333333333334</v>
      </c>
      <c r="X115" s="119" t="str">
        <f t="shared" si="30"/>
        <v>00:00</v>
      </c>
      <c r="Y115" s="96">
        <v>0</v>
      </c>
      <c r="Z115" s="96">
        <v>14</v>
      </c>
      <c r="AA115" s="96">
        <f t="shared" si="42"/>
        <v>14</v>
      </c>
      <c r="AB115" s="97">
        <f t="shared" si="43"/>
        <v>0</v>
      </c>
      <c r="AC115" s="97">
        <f t="shared" si="44"/>
        <v>939.04</v>
      </c>
      <c r="AD115" s="98">
        <f>3927.35-2988.31</f>
        <v>939.04</v>
      </c>
      <c r="AE115" s="98">
        <f>4017.1-3058.2</f>
        <v>958.90000000000009</v>
      </c>
      <c r="AF115" s="98">
        <f>4022.6-3063.7</f>
        <v>958.90000000000009</v>
      </c>
      <c r="AG115" s="98">
        <f t="shared" si="45"/>
        <v>19.860000000000127</v>
      </c>
      <c r="AH115" s="99">
        <v>672.5</v>
      </c>
      <c r="AI115" s="100">
        <f t="shared" si="46"/>
        <v>644860.25000000012</v>
      </c>
      <c r="AJ115" s="100">
        <f t="shared" si="48"/>
        <v>0</v>
      </c>
      <c r="AK115" s="100">
        <v>0</v>
      </c>
      <c r="AL115" s="100">
        <v>24140</v>
      </c>
      <c r="AM115" s="100">
        <v>0</v>
      </c>
      <c r="AN115" s="100">
        <v>0</v>
      </c>
      <c r="AO115" s="100">
        <v>0</v>
      </c>
      <c r="AP115" s="100">
        <f t="shared" si="47"/>
        <v>33451</v>
      </c>
      <c r="AQ115" s="101">
        <f>ROUNDUP(SUM(AI115:AP115),0)-2</f>
        <v>702450</v>
      </c>
      <c r="AR115" s="101">
        <v>0</v>
      </c>
      <c r="AS115" s="101">
        <v>0</v>
      </c>
      <c r="AT115" s="102" t="s">
        <v>33</v>
      </c>
      <c r="AU115" s="120">
        <v>1</v>
      </c>
      <c r="AV115" s="121">
        <v>1</v>
      </c>
      <c r="AW115" s="105"/>
      <c r="AX115" s="131">
        <f>IFERROR(((AG115+AG116)/(AF115+AF116))*100, "")</f>
        <v>2.367871525878785</v>
      </c>
      <c r="AY115" s="132">
        <f>ROUNDUP((AG115+AG116)*AH115,0)</f>
        <v>64056</v>
      </c>
      <c r="AZ115" s="107"/>
      <c r="BA115" s="118">
        <v>45407.850694444445</v>
      </c>
      <c r="BB115" s="118">
        <v>45407.854166666664</v>
      </c>
      <c r="BC115" s="118">
        <v>45407.854166666664</v>
      </c>
      <c r="BD115" s="118">
        <v>45407.996527777781</v>
      </c>
      <c r="BE115" s="119">
        <f t="shared" si="36"/>
        <v>0.14583333333575865</v>
      </c>
      <c r="BF115" s="119">
        <v>1.0416666666666666E-2</v>
      </c>
      <c r="BG115" s="119">
        <v>0</v>
      </c>
      <c r="BH115" s="119">
        <f t="shared" si="37"/>
        <v>3.4722222189884633E-3</v>
      </c>
      <c r="BI115" s="119">
        <f t="shared" si="37"/>
        <v>0</v>
      </c>
      <c r="BJ115" s="119">
        <f t="shared" si="37"/>
        <v>0.14236111111677019</v>
      </c>
      <c r="BK115" s="119">
        <f t="shared" si="38"/>
        <v>0.14236111111677019</v>
      </c>
      <c r="BL115" s="119">
        <f t="shared" si="39"/>
        <v>0.13194444445010353</v>
      </c>
      <c r="BM115" s="119" t="str">
        <f t="shared" si="40"/>
        <v>00:00</v>
      </c>
      <c r="BN115" s="110" t="s">
        <v>234</v>
      </c>
    </row>
    <row r="116" spans="1:66" s="8" customFormat="1" ht="12.75" customHeight="1" x14ac:dyDescent="0.25">
      <c r="A116" s="122"/>
      <c r="B116" s="122"/>
      <c r="C116" s="122"/>
      <c r="D116" s="122"/>
      <c r="E116" s="91" t="s">
        <v>235</v>
      </c>
      <c r="F116" s="122"/>
      <c r="G116" s="122"/>
      <c r="H116" s="122"/>
      <c r="I116" s="123"/>
      <c r="J116" s="124"/>
      <c r="K116" s="135"/>
      <c r="L116" s="123"/>
      <c r="M116" s="124"/>
      <c r="N116" s="125"/>
      <c r="O116" s="125"/>
      <c r="P116" s="125"/>
      <c r="Q116" s="125"/>
      <c r="R116" s="125"/>
      <c r="S116" s="125"/>
      <c r="T116" s="125"/>
      <c r="U116" s="125"/>
      <c r="V116" s="126"/>
      <c r="W116" s="126"/>
      <c r="X116" s="126"/>
      <c r="Y116" s="96">
        <v>0</v>
      </c>
      <c r="Z116" s="96">
        <v>44</v>
      </c>
      <c r="AA116" s="96">
        <f t="shared" si="42"/>
        <v>44</v>
      </c>
      <c r="AB116" s="97">
        <f t="shared" si="43"/>
        <v>0</v>
      </c>
      <c r="AC116" s="97">
        <f t="shared" si="44"/>
        <v>2988.3100000000004</v>
      </c>
      <c r="AD116" s="98">
        <v>2988.31</v>
      </c>
      <c r="AE116" s="98">
        <v>3058.2</v>
      </c>
      <c r="AF116" s="98">
        <v>3063.7</v>
      </c>
      <c r="AG116" s="98">
        <f t="shared" si="45"/>
        <v>75.389999999999873</v>
      </c>
      <c r="AH116" s="99">
        <v>672.5</v>
      </c>
      <c r="AI116" s="100">
        <f t="shared" si="46"/>
        <v>2060338.2499999998</v>
      </c>
      <c r="AJ116" s="100">
        <f t="shared" si="48"/>
        <v>0</v>
      </c>
      <c r="AK116" s="100">
        <v>0</v>
      </c>
      <c r="AL116" s="100">
        <v>0</v>
      </c>
      <c r="AM116" s="100">
        <v>0</v>
      </c>
      <c r="AN116" s="100">
        <v>0</v>
      </c>
      <c r="AO116" s="100">
        <v>0</v>
      </c>
      <c r="AP116" s="100">
        <f t="shared" si="47"/>
        <v>103017</v>
      </c>
      <c r="AQ116" s="101">
        <f t="shared" ref="AQ116:AQ147" si="49">ROUNDUP(SUM(AI116:AP116),0)</f>
        <v>2163356</v>
      </c>
      <c r="AR116" s="101">
        <v>0</v>
      </c>
      <c r="AS116" s="101">
        <v>0</v>
      </c>
      <c r="AT116" s="102" t="s">
        <v>33</v>
      </c>
      <c r="AU116" s="127"/>
      <c r="AV116" s="128"/>
      <c r="AW116" s="105"/>
      <c r="AX116" s="133"/>
      <c r="AY116" s="134"/>
      <c r="AZ116" s="107"/>
      <c r="BA116" s="125"/>
      <c r="BB116" s="125"/>
      <c r="BC116" s="125"/>
      <c r="BD116" s="125"/>
      <c r="BE116" s="126"/>
      <c r="BF116" s="126"/>
      <c r="BG116" s="126"/>
      <c r="BH116" s="126"/>
      <c r="BI116" s="126"/>
      <c r="BJ116" s="126"/>
      <c r="BK116" s="126"/>
      <c r="BL116" s="126"/>
      <c r="BM116" s="126"/>
      <c r="BN116" s="110" t="s">
        <v>236</v>
      </c>
    </row>
    <row r="117" spans="1:66" s="8" customFormat="1" ht="12.75" customHeight="1" x14ac:dyDescent="0.25">
      <c r="A117" s="90">
        <v>82</v>
      </c>
      <c r="B117" s="90">
        <v>82</v>
      </c>
      <c r="C117" s="90">
        <v>13</v>
      </c>
      <c r="D117" s="90" t="s">
        <v>113</v>
      </c>
      <c r="E117" s="91" t="s">
        <v>156</v>
      </c>
      <c r="F117" s="90" t="s">
        <v>37</v>
      </c>
      <c r="G117" s="90" t="s">
        <v>8</v>
      </c>
      <c r="H117" s="90" t="s">
        <v>153</v>
      </c>
      <c r="I117" s="92" t="s">
        <v>237</v>
      </c>
      <c r="J117" s="93">
        <v>45405</v>
      </c>
      <c r="K117" s="92" t="s">
        <v>117</v>
      </c>
      <c r="L117" s="92">
        <v>482000343</v>
      </c>
      <c r="M117" s="93">
        <v>45408</v>
      </c>
      <c r="N117" s="94">
        <v>45408.052083333336</v>
      </c>
      <c r="O117" s="94">
        <v>45408.052083333336</v>
      </c>
      <c r="P117" s="94">
        <v>45408.059027777781</v>
      </c>
      <c r="Q117" s="94">
        <v>45408.260416666664</v>
      </c>
      <c r="R117" s="114" t="s">
        <v>118</v>
      </c>
      <c r="S117" s="114">
        <v>45408.381944444445</v>
      </c>
      <c r="T117" s="114">
        <v>45408.395833333336</v>
      </c>
      <c r="U117" s="114">
        <v>45408.493055555555</v>
      </c>
      <c r="V117" s="95">
        <f t="shared" ref="V117:V169" si="50">+Q117-O117</f>
        <v>0.20833333332848269</v>
      </c>
      <c r="W117" s="95">
        <v>0.20833333333333334</v>
      </c>
      <c r="X117" s="95" t="str">
        <f t="shared" ref="X117:X169" si="51">IF(VALUE(V117)&lt;=VALUE("05:00"),"00:00",VALUE(V117)-VALUE("05:00"))</f>
        <v>00:00</v>
      </c>
      <c r="Y117" s="96">
        <v>0</v>
      </c>
      <c r="Z117" s="96">
        <v>59</v>
      </c>
      <c r="AA117" s="96">
        <f t="shared" si="42"/>
        <v>59</v>
      </c>
      <c r="AB117" s="97">
        <f t="shared" si="43"/>
        <v>0</v>
      </c>
      <c r="AC117" s="97">
        <f t="shared" si="44"/>
        <v>4036.41</v>
      </c>
      <c r="AD117" s="98">
        <v>4036.41</v>
      </c>
      <c r="AE117" s="98">
        <v>4096.3999999999996</v>
      </c>
      <c r="AF117" s="98">
        <v>4114</v>
      </c>
      <c r="AG117" s="98">
        <f t="shared" si="45"/>
        <v>77.590000000000146</v>
      </c>
      <c r="AH117" s="99">
        <v>1484</v>
      </c>
      <c r="AI117" s="100">
        <f t="shared" si="46"/>
        <v>6105176</v>
      </c>
      <c r="AJ117" s="100">
        <f t="shared" si="48"/>
        <v>0</v>
      </c>
      <c r="AK117" s="100">
        <v>0</v>
      </c>
      <c r="AL117" s="100">
        <v>24290</v>
      </c>
      <c r="AM117" s="100">
        <v>0</v>
      </c>
      <c r="AN117" s="100">
        <v>0</v>
      </c>
      <c r="AO117" s="100">
        <v>0</v>
      </c>
      <c r="AP117" s="100">
        <f t="shared" si="47"/>
        <v>306474</v>
      </c>
      <c r="AQ117" s="101">
        <f t="shared" si="49"/>
        <v>6435940</v>
      </c>
      <c r="AR117" s="101">
        <v>0</v>
      </c>
      <c r="AS117" s="101">
        <v>0</v>
      </c>
      <c r="AT117" s="102" t="s">
        <v>33</v>
      </c>
      <c r="AU117" s="109">
        <v>13</v>
      </c>
      <c r="AV117" s="100">
        <v>14</v>
      </c>
      <c r="AW117" s="105"/>
      <c r="AX117" s="106">
        <f t="shared" ref="AX117:AX168" si="52">IFERROR((AG117/AF117)*100, "")</f>
        <v>1.8859990277102612</v>
      </c>
      <c r="AY117" s="101">
        <f t="shared" ref="AY117:AY168" si="53">ROUNDUP(AG117*AH117,0)</f>
        <v>115144</v>
      </c>
      <c r="AZ117" s="107"/>
      <c r="BA117" s="94">
        <v>45408.052083333336</v>
      </c>
      <c r="BB117" s="94">
        <v>45408.059027777781</v>
      </c>
      <c r="BC117" s="94">
        <v>45408.069444444445</v>
      </c>
      <c r="BD117" s="94">
        <v>45408.372916666667</v>
      </c>
      <c r="BE117" s="95">
        <f t="shared" ref="BE117:BE169" si="54">+BD117-BA117</f>
        <v>0.32083333333139308</v>
      </c>
      <c r="BF117" s="95">
        <v>6.5277777777777782E-2</v>
      </c>
      <c r="BG117" s="95">
        <v>5.6944444444444443E-2</v>
      </c>
      <c r="BH117" s="95">
        <f t="shared" ref="BH117:BJ148" si="55">+BB117-BA117</f>
        <v>6.9444444452528842E-3</v>
      </c>
      <c r="BI117" s="95">
        <f t="shared" si="55"/>
        <v>1.0416666664241347E-2</v>
      </c>
      <c r="BJ117" s="95">
        <f t="shared" si="55"/>
        <v>0.30347222222189885</v>
      </c>
      <c r="BK117" s="95">
        <f t="shared" ref="BK117:BK169" si="56">+BI117+BJ117</f>
        <v>0.31388888888614019</v>
      </c>
      <c r="BL117" s="95">
        <f t="shared" ref="BL117:BL169" si="57">+BE117-BH117-BF117-BG117</f>
        <v>0.19166666666391799</v>
      </c>
      <c r="BM117" s="95">
        <f t="shared" ref="BM117:BM169" si="58">IF(VALUE(BE117)&lt;=VALUE("05:00"),"00:00",VALUE(BE117)-VALUE("05:00"))</f>
        <v>0.11249999999805974</v>
      </c>
      <c r="BN117" s="110"/>
    </row>
    <row r="118" spans="1:66" s="8" customFormat="1" ht="12.75" customHeight="1" x14ac:dyDescent="0.25">
      <c r="A118" s="90">
        <v>83</v>
      </c>
      <c r="B118" s="90">
        <v>83</v>
      </c>
      <c r="C118" s="90">
        <v>1</v>
      </c>
      <c r="D118" s="90" t="s">
        <v>148</v>
      </c>
      <c r="E118" s="91" t="s">
        <v>235</v>
      </c>
      <c r="F118" s="90" t="s">
        <v>16</v>
      </c>
      <c r="G118" s="90" t="s">
        <v>17</v>
      </c>
      <c r="H118" s="90" t="s">
        <v>150</v>
      </c>
      <c r="I118" s="92" t="s">
        <v>238</v>
      </c>
      <c r="J118" s="93">
        <v>45406</v>
      </c>
      <c r="K118" s="92" t="s">
        <v>122</v>
      </c>
      <c r="L118" s="92">
        <v>461000206</v>
      </c>
      <c r="M118" s="93">
        <v>45408</v>
      </c>
      <c r="N118" s="94">
        <v>45408.260416666664</v>
      </c>
      <c r="O118" s="94">
        <v>45408.260416666664</v>
      </c>
      <c r="P118" s="94">
        <v>45408.263888888891</v>
      </c>
      <c r="Q118" s="94">
        <v>45408.46875</v>
      </c>
      <c r="R118" s="114" t="s">
        <v>118</v>
      </c>
      <c r="S118" s="114">
        <v>45408.548611111109</v>
      </c>
      <c r="T118" s="114">
        <v>45408.583333333336</v>
      </c>
      <c r="U118" s="114">
        <v>45408.657638888886</v>
      </c>
      <c r="V118" s="95">
        <f t="shared" si="50"/>
        <v>0.20833333333575865</v>
      </c>
      <c r="W118" s="95">
        <v>0.20833333333333334</v>
      </c>
      <c r="X118" s="95">
        <f t="shared" si="51"/>
        <v>2.4253099528692701E-12</v>
      </c>
      <c r="Y118" s="96">
        <v>0</v>
      </c>
      <c r="Z118" s="96">
        <v>59</v>
      </c>
      <c r="AA118" s="96">
        <f t="shared" si="42"/>
        <v>59</v>
      </c>
      <c r="AB118" s="97">
        <f t="shared" si="43"/>
        <v>0</v>
      </c>
      <c r="AC118" s="97">
        <f t="shared" si="44"/>
        <v>4017.6000000000004</v>
      </c>
      <c r="AD118" s="98">
        <v>4017.6</v>
      </c>
      <c r="AE118" s="98">
        <v>4096.5</v>
      </c>
      <c r="AF118" s="98">
        <v>4099.2</v>
      </c>
      <c r="AG118" s="98">
        <f t="shared" si="45"/>
        <v>81.599999999999909</v>
      </c>
      <c r="AH118" s="99">
        <v>672.5</v>
      </c>
      <c r="AI118" s="100">
        <f t="shared" si="46"/>
        <v>2756712</v>
      </c>
      <c r="AJ118" s="100">
        <f t="shared" si="48"/>
        <v>0</v>
      </c>
      <c r="AK118" s="100">
        <v>0</v>
      </c>
      <c r="AL118" s="100">
        <v>0</v>
      </c>
      <c r="AM118" s="100">
        <v>0</v>
      </c>
      <c r="AN118" s="100">
        <v>0</v>
      </c>
      <c r="AO118" s="100">
        <v>0</v>
      </c>
      <c r="AP118" s="100">
        <f t="shared" si="47"/>
        <v>137836</v>
      </c>
      <c r="AQ118" s="101">
        <f t="shared" si="49"/>
        <v>2894548</v>
      </c>
      <c r="AR118" s="101">
        <v>0</v>
      </c>
      <c r="AS118" s="101">
        <v>0</v>
      </c>
      <c r="AT118" s="102" t="s">
        <v>33</v>
      </c>
      <c r="AU118" s="109" t="s">
        <v>118</v>
      </c>
      <c r="AV118" s="100">
        <v>0</v>
      </c>
      <c r="AW118" s="105"/>
      <c r="AX118" s="106">
        <f t="shared" si="52"/>
        <v>1.9906323185011687</v>
      </c>
      <c r="AY118" s="101">
        <f t="shared" si="53"/>
        <v>54876</v>
      </c>
      <c r="AZ118" s="107"/>
      <c r="BA118" s="94">
        <v>45408.260416666664</v>
      </c>
      <c r="BB118" s="94">
        <v>45408.263888888891</v>
      </c>
      <c r="BC118" s="94">
        <v>45408.387499999997</v>
      </c>
      <c r="BD118" s="94">
        <v>45408.542361111111</v>
      </c>
      <c r="BE118" s="95">
        <f t="shared" si="54"/>
        <v>0.28194444444670808</v>
      </c>
      <c r="BF118" s="95">
        <v>3.3333333333333333E-2</v>
      </c>
      <c r="BG118" s="95">
        <v>0.11805555555555555</v>
      </c>
      <c r="BH118" s="95">
        <f t="shared" si="55"/>
        <v>3.4722222262644209E-3</v>
      </c>
      <c r="BI118" s="95">
        <f t="shared" si="55"/>
        <v>0.12361111110658385</v>
      </c>
      <c r="BJ118" s="95">
        <f t="shared" si="55"/>
        <v>0.15486111111385981</v>
      </c>
      <c r="BK118" s="95">
        <f t="shared" si="56"/>
        <v>0.27847222222044365</v>
      </c>
      <c r="BL118" s="95">
        <f t="shared" si="57"/>
        <v>0.12708333333155478</v>
      </c>
      <c r="BM118" s="95">
        <f t="shared" si="58"/>
        <v>7.3611111113374733E-2</v>
      </c>
      <c r="BN118" s="110"/>
    </row>
    <row r="119" spans="1:66" s="8" customFormat="1" ht="12.75" customHeight="1" x14ac:dyDescent="0.25">
      <c r="A119" s="90">
        <v>84</v>
      </c>
      <c r="B119" s="90">
        <v>84</v>
      </c>
      <c r="C119" s="90">
        <v>4</v>
      </c>
      <c r="D119" s="90" t="s">
        <v>113</v>
      </c>
      <c r="E119" s="91" t="s">
        <v>114</v>
      </c>
      <c r="F119" s="90" t="s">
        <v>39</v>
      </c>
      <c r="G119" s="90" t="s">
        <v>12</v>
      </c>
      <c r="H119" s="90" t="s">
        <v>115</v>
      </c>
      <c r="I119" s="92" t="s">
        <v>239</v>
      </c>
      <c r="J119" s="93">
        <v>45406</v>
      </c>
      <c r="K119" s="92" t="s">
        <v>117</v>
      </c>
      <c r="L119" s="92">
        <v>282000895</v>
      </c>
      <c r="M119" s="93">
        <v>45409</v>
      </c>
      <c r="N119" s="94">
        <v>45408.541666666664</v>
      </c>
      <c r="O119" s="94">
        <v>45408.541666666664</v>
      </c>
      <c r="P119" s="94">
        <v>45408.548611111109</v>
      </c>
      <c r="Q119" s="94">
        <v>45408.75</v>
      </c>
      <c r="R119" s="114" t="s">
        <v>118</v>
      </c>
      <c r="S119" s="114" t="s">
        <v>118</v>
      </c>
      <c r="T119" s="114">
        <v>45408.770833333336</v>
      </c>
      <c r="U119" s="114">
        <v>45408.834722222222</v>
      </c>
      <c r="V119" s="95">
        <f t="shared" si="50"/>
        <v>0.20833333333575865</v>
      </c>
      <c r="W119" s="95">
        <v>0.20833333333333334</v>
      </c>
      <c r="X119" s="95">
        <f t="shared" si="51"/>
        <v>2.4253099528692701E-12</v>
      </c>
      <c r="Y119" s="96">
        <v>0</v>
      </c>
      <c r="Z119" s="96">
        <v>58</v>
      </c>
      <c r="AA119" s="96">
        <f t="shared" si="42"/>
        <v>58</v>
      </c>
      <c r="AB119" s="97">
        <f t="shared" si="43"/>
        <v>0</v>
      </c>
      <c r="AC119" s="97">
        <f t="shared" si="44"/>
        <v>3881.1700000000005</v>
      </c>
      <c r="AD119" s="98">
        <v>3881.17</v>
      </c>
      <c r="AE119" s="98">
        <v>4034.4</v>
      </c>
      <c r="AF119" s="98">
        <v>4034.6</v>
      </c>
      <c r="AG119" s="98">
        <f t="shared" si="45"/>
        <v>153.42999999999984</v>
      </c>
      <c r="AH119" s="99">
        <v>1586.7</v>
      </c>
      <c r="AI119" s="100">
        <f t="shared" si="46"/>
        <v>6401699.8200000003</v>
      </c>
      <c r="AJ119" s="100">
        <f t="shared" si="48"/>
        <v>0</v>
      </c>
      <c r="AK119" s="100">
        <v>0</v>
      </c>
      <c r="AL119" s="100">
        <v>0</v>
      </c>
      <c r="AM119" s="100">
        <v>0</v>
      </c>
      <c r="AN119" s="100">
        <v>0</v>
      </c>
      <c r="AO119" s="100">
        <f>IFERROR(AF119*20+(((AJ119/AH119)/2)*20),0)</f>
        <v>80692</v>
      </c>
      <c r="AP119" s="100">
        <f t="shared" si="47"/>
        <v>324120</v>
      </c>
      <c r="AQ119" s="101">
        <f t="shared" si="49"/>
        <v>6806512</v>
      </c>
      <c r="AR119" s="101">
        <v>0</v>
      </c>
      <c r="AS119" s="101">
        <v>0</v>
      </c>
      <c r="AT119" s="102" t="s">
        <v>33</v>
      </c>
      <c r="AU119" s="109" t="s">
        <v>118</v>
      </c>
      <c r="AV119" s="100">
        <v>0</v>
      </c>
      <c r="AW119" s="105"/>
      <c r="AX119" s="106">
        <f t="shared" si="52"/>
        <v>3.8028553016408027</v>
      </c>
      <c r="AY119" s="101">
        <f t="shared" si="53"/>
        <v>243448</v>
      </c>
      <c r="AZ119" s="107"/>
      <c r="BA119" s="94">
        <v>45408.541666666664</v>
      </c>
      <c r="BB119" s="94">
        <v>45408.548611111109</v>
      </c>
      <c r="BC119" s="94">
        <v>45408.581944444442</v>
      </c>
      <c r="BD119" s="94">
        <v>45408.75</v>
      </c>
      <c r="BE119" s="95">
        <f t="shared" si="54"/>
        <v>0.20833333333575865</v>
      </c>
      <c r="BF119" s="95">
        <v>1.5277777777777777E-2</v>
      </c>
      <c r="BG119" s="95">
        <v>2.2916666666666665E-2</v>
      </c>
      <c r="BH119" s="95">
        <f t="shared" si="55"/>
        <v>6.9444444452528842E-3</v>
      </c>
      <c r="BI119" s="95">
        <f t="shared" si="55"/>
        <v>3.3333333332848269E-2</v>
      </c>
      <c r="BJ119" s="95">
        <f t="shared" si="55"/>
        <v>0.1680555555576575</v>
      </c>
      <c r="BK119" s="95">
        <f t="shared" si="56"/>
        <v>0.20138888889050577</v>
      </c>
      <c r="BL119" s="95">
        <f t="shared" si="57"/>
        <v>0.16319444444606132</v>
      </c>
      <c r="BM119" s="95">
        <f t="shared" si="58"/>
        <v>2.4253099528692701E-12</v>
      </c>
      <c r="BN119" s="110"/>
    </row>
    <row r="120" spans="1:66" s="8" customFormat="1" ht="12.75" customHeight="1" x14ac:dyDescent="0.25">
      <c r="A120" s="90">
        <v>85</v>
      </c>
      <c r="B120" s="90">
        <v>85</v>
      </c>
      <c r="C120" s="90">
        <v>2</v>
      </c>
      <c r="D120" s="90" t="s">
        <v>148</v>
      </c>
      <c r="E120" s="91" t="s">
        <v>235</v>
      </c>
      <c r="F120" s="90" t="s">
        <v>16</v>
      </c>
      <c r="G120" s="90" t="s">
        <v>17</v>
      </c>
      <c r="H120" s="90" t="s">
        <v>150</v>
      </c>
      <c r="I120" s="92" t="s">
        <v>240</v>
      </c>
      <c r="J120" s="93">
        <v>45406</v>
      </c>
      <c r="K120" s="92" t="s">
        <v>122</v>
      </c>
      <c r="L120" s="92">
        <v>461000207</v>
      </c>
      <c r="M120" s="93">
        <v>45409</v>
      </c>
      <c r="N120" s="94">
        <v>45408.708333333336</v>
      </c>
      <c r="O120" s="94">
        <v>45408.708333333336</v>
      </c>
      <c r="P120" s="94">
        <v>45408.715277777781</v>
      </c>
      <c r="Q120" s="94">
        <v>45408.916666666664</v>
      </c>
      <c r="R120" s="114" t="s">
        <v>118</v>
      </c>
      <c r="S120" s="114" t="s">
        <v>118</v>
      </c>
      <c r="T120" s="114">
        <v>45409</v>
      </c>
      <c r="U120" s="114">
        <v>45409.068055555559</v>
      </c>
      <c r="V120" s="95">
        <f t="shared" si="50"/>
        <v>0.20833333332848269</v>
      </c>
      <c r="W120" s="95">
        <v>0.20833333333333334</v>
      </c>
      <c r="X120" s="95" t="str">
        <f t="shared" si="51"/>
        <v>00:00</v>
      </c>
      <c r="Y120" s="96">
        <v>0</v>
      </c>
      <c r="Z120" s="96">
        <v>59</v>
      </c>
      <c r="AA120" s="96">
        <f t="shared" si="42"/>
        <v>59</v>
      </c>
      <c r="AB120" s="97">
        <f t="shared" si="43"/>
        <v>0</v>
      </c>
      <c r="AC120" s="97">
        <f t="shared" si="44"/>
        <v>3966.5</v>
      </c>
      <c r="AD120" s="98">
        <v>3966.5</v>
      </c>
      <c r="AE120" s="98">
        <v>4077.4</v>
      </c>
      <c r="AF120" s="98">
        <v>4079.2</v>
      </c>
      <c r="AG120" s="98">
        <f t="shared" si="45"/>
        <v>112.69999999999982</v>
      </c>
      <c r="AH120" s="99">
        <v>672.5</v>
      </c>
      <c r="AI120" s="100">
        <f t="shared" si="46"/>
        <v>2743262</v>
      </c>
      <c r="AJ120" s="100">
        <f>(0.4*AH120)*2</f>
        <v>538</v>
      </c>
      <c r="AK120" s="100">
        <v>0</v>
      </c>
      <c r="AL120" s="100">
        <v>0</v>
      </c>
      <c r="AM120" s="100">
        <v>0</v>
      </c>
      <c r="AN120" s="100">
        <v>0</v>
      </c>
      <c r="AO120" s="100">
        <v>0</v>
      </c>
      <c r="AP120" s="100">
        <f t="shared" si="47"/>
        <v>137190</v>
      </c>
      <c r="AQ120" s="101">
        <f t="shared" si="49"/>
        <v>2880990</v>
      </c>
      <c r="AR120" s="101">
        <v>0</v>
      </c>
      <c r="AS120" s="101">
        <v>0</v>
      </c>
      <c r="AT120" s="102" t="s">
        <v>33</v>
      </c>
      <c r="AU120" s="109" t="s">
        <v>118</v>
      </c>
      <c r="AV120" s="100">
        <v>0</v>
      </c>
      <c r="AW120" s="105"/>
      <c r="AX120" s="106">
        <f t="shared" si="52"/>
        <v>2.7627966267895623</v>
      </c>
      <c r="AY120" s="101">
        <f t="shared" si="53"/>
        <v>75791</v>
      </c>
      <c r="AZ120" s="107"/>
      <c r="BA120" s="94">
        <v>45408.708333333336</v>
      </c>
      <c r="BB120" s="94">
        <v>45408.715277777781</v>
      </c>
      <c r="BC120" s="94">
        <v>45408.791666666664</v>
      </c>
      <c r="BD120" s="94">
        <v>45408.908333333333</v>
      </c>
      <c r="BE120" s="95">
        <f t="shared" si="54"/>
        <v>0.19999999999708962</v>
      </c>
      <c r="BF120" s="95">
        <v>3.125E-2</v>
      </c>
      <c r="BG120" s="95">
        <v>4.5138888888888888E-2</v>
      </c>
      <c r="BH120" s="95">
        <f t="shared" si="55"/>
        <v>6.9444444452528842E-3</v>
      </c>
      <c r="BI120" s="95">
        <f t="shared" si="55"/>
        <v>7.6388888883229811E-2</v>
      </c>
      <c r="BJ120" s="95">
        <f t="shared" si="55"/>
        <v>0.11666666666860692</v>
      </c>
      <c r="BK120" s="95">
        <f t="shared" si="56"/>
        <v>0.19305555555183673</v>
      </c>
      <c r="BL120" s="95">
        <f t="shared" si="57"/>
        <v>0.11666666666294784</v>
      </c>
      <c r="BM120" s="95" t="str">
        <f t="shared" si="58"/>
        <v>00:00</v>
      </c>
      <c r="BN120" s="110"/>
    </row>
    <row r="121" spans="1:66" s="8" customFormat="1" ht="12.75" customHeight="1" x14ac:dyDescent="0.25">
      <c r="A121" s="90">
        <v>86</v>
      </c>
      <c r="B121" s="90">
        <v>86</v>
      </c>
      <c r="C121" s="90">
        <v>15</v>
      </c>
      <c r="D121" s="90" t="s">
        <v>113</v>
      </c>
      <c r="E121" s="91" t="s">
        <v>188</v>
      </c>
      <c r="F121" s="90" t="s">
        <v>29</v>
      </c>
      <c r="G121" s="90" t="s">
        <v>15</v>
      </c>
      <c r="H121" s="90" t="s">
        <v>124</v>
      </c>
      <c r="I121" s="92" t="s">
        <v>241</v>
      </c>
      <c r="J121" s="93"/>
      <c r="K121" s="92" t="s">
        <v>117</v>
      </c>
      <c r="L121" s="92">
        <v>441000004</v>
      </c>
      <c r="M121" s="93">
        <v>45409</v>
      </c>
      <c r="N121" s="94">
        <v>45408.927083333336</v>
      </c>
      <c r="O121" s="94">
        <v>45408.927083333336</v>
      </c>
      <c r="P121" s="94">
        <v>45408.930555555555</v>
      </c>
      <c r="Q121" s="94">
        <v>45409.125</v>
      </c>
      <c r="R121" s="114" t="s">
        <v>118</v>
      </c>
      <c r="S121" s="114" t="s">
        <v>118</v>
      </c>
      <c r="T121" s="114">
        <v>45409.131944444445</v>
      </c>
      <c r="U121" s="114">
        <v>45409.267361111109</v>
      </c>
      <c r="V121" s="95">
        <f t="shared" si="50"/>
        <v>0.19791666666424135</v>
      </c>
      <c r="W121" s="95">
        <v>0.20833333333333334</v>
      </c>
      <c r="X121" s="95" t="str">
        <f t="shared" si="51"/>
        <v>00:00</v>
      </c>
      <c r="Y121" s="96">
        <v>0</v>
      </c>
      <c r="Z121" s="96">
        <v>58</v>
      </c>
      <c r="AA121" s="96">
        <f t="shared" si="42"/>
        <v>58</v>
      </c>
      <c r="AB121" s="97">
        <f t="shared" si="43"/>
        <v>0</v>
      </c>
      <c r="AC121" s="97">
        <f t="shared" si="44"/>
        <v>3950.87</v>
      </c>
      <c r="AD121" s="98">
        <v>3950.87</v>
      </c>
      <c r="AE121" s="98">
        <v>4025.2</v>
      </c>
      <c r="AF121" s="98">
        <v>4030</v>
      </c>
      <c r="AG121" s="98">
        <f t="shared" si="45"/>
        <v>79.130000000000109</v>
      </c>
      <c r="AH121" s="99">
        <v>797.2</v>
      </c>
      <c r="AI121" s="100">
        <f t="shared" si="46"/>
        <v>3212716</v>
      </c>
      <c r="AJ121" s="100">
        <f>(0*AH121)*2</f>
        <v>0</v>
      </c>
      <c r="AK121" s="100">
        <v>0</v>
      </c>
      <c r="AL121" s="100">
        <v>24140</v>
      </c>
      <c r="AM121" s="100">
        <v>0</v>
      </c>
      <c r="AN121" s="100">
        <v>0</v>
      </c>
      <c r="AO121" s="100">
        <v>0</v>
      </c>
      <c r="AP121" s="100">
        <f t="shared" si="47"/>
        <v>161843</v>
      </c>
      <c r="AQ121" s="101">
        <f t="shared" si="49"/>
        <v>3398699</v>
      </c>
      <c r="AR121" s="101">
        <v>0</v>
      </c>
      <c r="AS121" s="101">
        <v>0</v>
      </c>
      <c r="AT121" s="102" t="s">
        <v>33</v>
      </c>
      <c r="AU121" s="109">
        <v>2</v>
      </c>
      <c r="AV121" s="100">
        <v>1.5</v>
      </c>
      <c r="AW121" s="105"/>
      <c r="AX121" s="106">
        <f t="shared" si="52"/>
        <v>1.9635235732009955</v>
      </c>
      <c r="AY121" s="101">
        <f t="shared" si="53"/>
        <v>63083</v>
      </c>
      <c r="AZ121" s="107"/>
      <c r="BA121" s="94">
        <v>45408.927083333336</v>
      </c>
      <c r="BB121" s="94">
        <v>45408.930555555555</v>
      </c>
      <c r="BC121" s="94">
        <v>45408.958333333336</v>
      </c>
      <c r="BD121" s="94">
        <v>45409.118055555555</v>
      </c>
      <c r="BE121" s="95">
        <f t="shared" si="54"/>
        <v>0.19097222221898846</v>
      </c>
      <c r="BF121" s="95">
        <v>1.5277777777777777E-2</v>
      </c>
      <c r="BG121" s="95">
        <v>6.1111111111111109E-2</v>
      </c>
      <c r="BH121" s="95">
        <f t="shared" si="55"/>
        <v>3.4722222189884633E-3</v>
      </c>
      <c r="BI121" s="95">
        <f t="shared" si="55"/>
        <v>2.7777777781011537E-2</v>
      </c>
      <c r="BJ121" s="95">
        <f t="shared" si="55"/>
        <v>0.15972222221898846</v>
      </c>
      <c r="BK121" s="95">
        <f t="shared" si="56"/>
        <v>0.1875</v>
      </c>
      <c r="BL121" s="95">
        <f t="shared" si="57"/>
        <v>0.1111111111111111</v>
      </c>
      <c r="BM121" s="95" t="str">
        <f t="shared" si="58"/>
        <v>00:00</v>
      </c>
      <c r="BN121" s="110"/>
    </row>
    <row r="122" spans="1:66" s="8" customFormat="1" ht="12.75" customHeight="1" x14ac:dyDescent="0.25">
      <c r="A122" s="90">
        <v>87</v>
      </c>
      <c r="B122" s="90">
        <v>87</v>
      </c>
      <c r="C122" s="90">
        <v>3</v>
      </c>
      <c r="D122" s="90" t="s">
        <v>148</v>
      </c>
      <c r="E122" s="91" t="s">
        <v>235</v>
      </c>
      <c r="F122" s="90" t="s">
        <v>16</v>
      </c>
      <c r="G122" s="90" t="s">
        <v>17</v>
      </c>
      <c r="H122" s="90" t="s">
        <v>150</v>
      </c>
      <c r="I122" s="92" t="s">
        <v>242</v>
      </c>
      <c r="J122" s="93">
        <v>45407</v>
      </c>
      <c r="K122" s="92" t="s">
        <v>122</v>
      </c>
      <c r="L122" s="92">
        <v>461000208</v>
      </c>
      <c r="M122" s="93">
        <v>45409</v>
      </c>
      <c r="N122" s="94">
        <v>45409.229166666664</v>
      </c>
      <c r="O122" s="94">
        <v>45409.229166666664</v>
      </c>
      <c r="P122" s="94">
        <v>45409.236111111109</v>
      </c>
      <c r="Q122" s="94">
        <v>45409.427083333336</v>
      </c>
      <c r="R122" s="114" t="s">
        <v>118</v>
      </c>
      <c r="S122" s="114" t="s">
        <v>118</v>
      </c>
      <c r="T122" s="114">
        <v>45409.520833333336</v>
      </c>
      <c r="U122" s="114">
        <v>45409.604166666664</v>
      </c>
      <c r="V122" s="95">
        <f t="shared" si="50"/>
        <v>0.19791666667151731</v>
      </c>
      <c r="W122" s="95">
        <v>0.20833333333333334</v>
      </c>
      <c r="X122" s="95" t="str">
        <f t="shared" si="51"/>
        <v>00:00</v>
      </c>
      <c r="Y122" s="96">
        <v>0</v>
      </c>
      <c r="Z122" s="96">
        <v>58</v>
      </c>
      <c r="AA122" s="96">
        <f t="shared" si="42"/>
        <v>58</v>
      </c>
      <c r="AB122" s="97">
        <f t="shared" si="43"/>
        <v>0</v>
      </c>
      <c r="AC122" s="97">
        <f t="shared" si="44"/>
        <v>3951.51</v>
      </c>
      <c r="AD122" s="98">
        <v>3951.51</v>
      </c>
      <c r="AE122" s="98">
        <v>4027.6</v>
      </c>
      <c r="AF122" s="98">
        <v>4034</v>
      </c>
      <c r="AG122" s="98">
        <f t="shared" si="45"/>
        <v>82.489999999999782</v>
      </c>
      <c r="AH122" s="99">
        <v>672.5</v>
      </c>
      <c r="AI122" s="100">
        <f t="shared" si="46"/>
        <v>2712865</v>
      </c>
      <c r="AJ122" s="100">
        <f>(0*AH122)*2</f>
        <v>0</v>
      </c>
      <c r="AK122" s="100">
        <v>0</v>
      </c>
      <c r="AL122" s="100">
        <v>24140</v>
      </c>
      <c r="AM122" s="100">
        <v>0</v>
      </c>
      <c r="AN122" s="100">
        <v>0</v>
      </c>
      <c r="AO122" s="100">
        <v>0</v>
      </c>
      <c r="AP122" s="100">
        <f t="shared" si="47"/>
        <v>136851</v>
      </c>
      <c r="AQ122" s="101">
        <f t="shared" si="49"/>
        <v>2873856</v>
      </c>
      <c r="AR122" s="101">
        <v>0</v>
      </c>
      <c r="AS122" s="101">
        <v>0</v>
      </c>
      <c r="AT122" s="102" t="s">
        <v>33</v>
      </c>
      <c r="AU122" s="109">
        <v>4</v>
      </c>
      <c r="AV122" s="100">
        <v>2.5</v>
      </c>
      <c r="AW122" s="105"/>
      <c r="AX122" s="106">
        <f t="shared" si="52"/>
        <v>2.0448686167575554</v>
      </c>
      <c r="AY122" s="101">
        <f t="shared" si="53"/>
        <v>55475</v>
      </c>
      <c r="AZ122" s="107"/>
      <c r="BA122" s="94">
        <v>45409.229166666664</v>
      </c>
      <c r="BB122" s="94">
        <v>45409.236111111109</v>
      </c>
      <c r="BC122" s="94">
        <v>45409.236111111109</v>
      </c>
      <c r="BD122" s="94">
        <v>45409.361111111109</v>
      </c>
      <c r="BE122" s="95">
        <f t="shared" si="54"/>
        <v>0.13194444444525288</v>
      </c>
      <c r="BF122" s="95">
        <v>0</v>
      </c>
      <c r="BG122" s="95">
        <v>0</v>
      </c>
      <c r="BH122" s="95">
        <f t="shared" si="55"/>
        <v>6.9444444452528842E-3</v>
      </c>
      <c r="BI122" s="95">
        <f t="shared" si="55"/>
        <v>0</v>
      </c>
      <c r="BJ122" s="95">
        <f t="shared" si="55"/>
        <v>0.125</v>
      </c>
      <c r="BK122" s="95">
        <f t="shared" si="56"/>
        <v>0.125</v>
      </c>
      <c r="BL122" s="95">
        <f t="shared" si="57"/>
        <v>0.125</v>
      </c>
      <c r="BM122" s="95" t="str">
        <f t="shared" si="58"/>
        <v>00:00</v>
      </c>
      <c r="BN122" s="110"/>
    </row>
    <row r="123" spans="1:66" s="8" customFormat="1" ht="12.75" customHeight="1" x14ac:dyDescent="0.25">
      <c r="A123" s="90">
        <v>88</v>
      </c>
      <c r="B123" s="90">
        <v>88</v>
      </c>
      <c r="C123" s="90">
        <v>5</v>
      </c>
      <c r="D123" s="90" t="s">
        <v>113</v>
      </c>
      <c r="E123" s="91" t="s">
        <v>137</v>
      </c>
      <c r="F123" s="90" t="s">
        <v>27</v>
      </c>
      <c r="G123" s="90" t="s">
        <v>12</v>
      </c>
      <c r="H123" s="90" t="s">
        <v>115</v>
      </c>
      <c r="I123" s="92" t="s">
        <v>243</v>
      </c>
      <c r="J123" s="93">
        <v>45407</v>
      </c>
      <c r="K123" s="92" t="s">
        <v>117</v>
      </c>
      <c r="L123" s="92">
        <v>282000896</v>
      </c>
      <c r="M123" s="93">
        <v>45410</v>
      </c>
      <c r="N123" s="94">
        <v>45409.375</v>
      </c>
      <c r="O123" s="94">
        <v>45409.375</v>
      </c>
      <c r="P123" s="94">
        <v>45409.378472222219</v>
      </c>
      <c r="Q123" s="94">
        <v>45409.583333333336</v>
      </c>
      <c r="R123" s="114" t="s">
        <v>118</v>
      </c>
      <c r="S123" s="114">
        <v>45409.6875</v>
      </c>
      <c r="T123" s="114">
        <v>45409.739583333336</v>
      </c>
      <c r="U123" s="114">
        <v>45409.819444444445</v>
      </c>
      <c r="V123" s="95">
        <f t="shared" si="50"/>
        <v>0.20833333333575865</v>
      </c>
      <c r="W123" s="95">
        <v>0.20833333333333334</v>
      </c>
      <c r="X123" s="95">
        <f t="shared" si="51"/>
        <v>2.4253099528692701E-12</v>
      </c>
      <c r="Y123" s="96">
        <v>0</v>
      </c>
      <c r="Z123" s="96">
        <v>59</v>
      </c>
      <c r="AA123" s="96">
        <f t="shared" si="42"/>
        <v>59</v>
      </c>
      <c r="AB123" s="97">
        <f t="shared" si="43"/>
        <v>0</v>
      </c>
      <c r="AC123" s="97">
        <f t="shared" si="44"/>
        <v>4062.96</v>
      </c>
      <c r="AD123" s="98">
        <v>4062.96</v>
      </c>
      <c r="AE123" s="98">
        <v>4107.3999999999996</v>
      </c>
      <c r="AF123" s="98">
        <v>4124.3999999999996</v>
      </c>
      <c r="AG123" s="98">
        <f t="shared" si="45"/>
        <v>61.4399999999996</v>
      </c>
      <c r="AH123" s="99">
        <v>1586.7</v>
      </c>
      <c r="AI123" s="100">
        <f t="shared" si="46"/>
        <v>6544185.4799999995</v>
      </c>
      <c r="AJ123" s="100">
        <f>(0*AH123)*2</f>
        <v>0</v>
      </c>
      <c r="AK123" s="100">
        <v>0</v>
      </c>
      <c r="AL123" s="100">
        <v>24290</v>
      </c>
      <c r="AM123" s="100">
        <v>0</v>
      </c>
      <c r="AN123" s="100">
        <v>0</v>
      </c>
      <c r="AO123" s="100">
        <f>IFERROR(AF123*20+(((AJ123/AH123)/2)*20),0)</f>
        <v>82488</v>
      </c>
      <c r="AP123" s="100">
        <f t="shared" si="47"/>
        <v>332549</v>
      </c>
      <c r="AQ123" s="101">
        <f t="shared" si="49"/>
        <v>6983513</v>
      </c>
      <c r="AR123" s="101">
        <v>0</v>
      </c>
      <c r="AS123" s="101">
        <v>0</v>
      </c>
      <c r="AT123" s="102" t="s">
        <v>33</v>
      </c>
      <c r="AU123" s="109">
        <v>7</v>
      </c>
      <c r="AV123" s="100">
        <v>6.5</v>
      </c>
      <c r="AW123" s="105"/>
      <c r="AX123" s="106">
        <f t="shared" si="52"/>
        <v>1.4896712249054311</v>
      </c>
      <c r="AY123" s="101">
        <f t="shared" si="53"/>
        <v>97487</v>
      </c>
      <c r="AZ123" s="107"/>
      <c r="BA123" s="94">
        <v>45409.375</v>
      </c>
      <c r="BB123" s="94">
        <v>45409.378472222219</v>
      </c>
      <c r="BC123" s="94">
        <v>45409.4375</v>
      </c>
      <c r="BD123" s="94">
        <v>45409.555555555555</v>
      </c>
      <c r="BE123" s="95">
        <f t="shared" si="54"/>
        <v>0.18055555555474712</v>
      </c>
      <c r="BF123" s="95">
        <v>0</v>
      </c>
      <c r="BG123" s="95">
        <v>0.10902777777777778</v>
      </c>
      <c r="BH123" s="95">
        <f t="shared" si="55"/>
        <v>3.4722222189884633E-3</v>
      </c>
      <c r="BI123" s="95">
        <f t="shared" si="55"/>
        <v>5.9027777781011537E-2</v>
      </c>
      <c r="BJ123" s="95">
        <f t="shared" si="55"/>
        <v>0.11805555555474712</v>
      </c>
      <c r="BK123" s="95">
        <f t="shared" si="56"/>
        <v>0.17708333333575865</v>
      </c>
      <c r="BL123" s="95">
        <f t="shared" si="57"/>
        <v>6.8055555557980874E-2</v>
      </c>
      <c r="BM123" s="95" t="str">
        <f t="shared" si="58"/>
        <v>00:00</v>
      </c>
      <c r="BN123" s="110"/>
    </row>
    <row r="124" spans="1:66" s="8" customFormat="1" ht="12.75" customHeight="1" x14ac:dyDescent="0.25">
      <c r="A124" s="90">
        <v>89</v>
      </c>
      <c r="B124" s="90">
        <v>89</v>
      </c>
      <c r="C124" s="90">
        <v>4</v>
      </c>
      <c r="D124" s="90" t="s">
        <v>148</v>
      </c>
      <c r="E124" s="91" t="s">
        <v>235</v>
      </c>
      <c r="F124" s="90" t="s">
        <v>16</v>
      </c>
      <c r="G124" s="90" t="s">
        <v>17</v>
      </c>
      <c r="H124" s="90" t="s">
        <v>150</v>
      </c>
      <c r="I124" s="92" t="s">
        <v>244</v>
      </c>
      <c r="J124" s="93">
        <v>45407</v>
      </c>
      <c r="K124" s="92" t="s">
        <v>122</v>
      </c>
      <c r="L124" s="92">
        <v>461000209</v>
      </c>
      <c r="M124" s="93">
        <v>45410</v>
      </c>
      <c r="N124" s="94">
        <v>45409.645833333336</v>
      </c>
      <c r="O124" s="94">
        <v>45409.645833333336</v>
      </c>
      <c r="P124" s="94">
        <v>45409.649305555555</v>
      </c>
      <c r="Q124" s="94">
        <v>45409.854166666664</v>
      </c>
      <c r="R124" s="114" t="s">
        <v>118</v>
      </c>
      <c r="S124" s="114" t="s">
        <v>118</v>
      </c>
      <c r="T124" s="114">
        <v>45410.020833333336</v>
      </c>
      <c r="U124" s="114">
        <v>45410.083333333336</v>
      </c>
      <c r="V124" s="95">
        <f t="shared" si="50"/>
        <v>0.20833333332848269</v>
      </c>
      <c r="W124" s="95">
        <v>0.20833333333333334</v>
      </c>
      <c r="X124" s="95" t="str">
        <f t="shared" si="51"/>
        <v>00:00</v>
      </c>
      <c r="Y124" s="96">
        <v>0</v>
      </c>
      <c r="Z124" s="96">
        <v>58</v>
      </c>
      <c r="AA124" s="96">
        <f t="shared" si="42"/>
        <v>58</v>
      </c>
      <c r="AB124" s="97">
        <f t="shared" si="43"/>
        <v>0</v>
      </c>
      <c r="AC124" s="97">
        <f t="shared" si="44"/>
        <v>4026.9199999999996</v>
      </c>
      <c r="AD124" s="98">
        <v>4026.92</v>
      </c>
      <c r="AE124" s="98">
        <v>4047.4</v>
      </c>
      <c r="AF124" s="98">
        <v>4061.6</v>
      </c>
      <c r="AG124" s="98">
        <f t="shared" si="45"/>
        <v>34.679999999999836</v>
      </c>
      <c r="AH124" s="99">
        <v>672.5</v>
      </c>
      <c r="AI124" s="100">
        <f t="shared" si="46"/>
        <v>2731426</v>
      </c>
      <c r="AJ124" s="100">
        <f>(0*AH124)*2</f>
        <v>0</v>
      </c>
      <c r="AK124" s="100">
        <v>0</v>
      </c>
      <c r="AL124" s="100">
        <v>24140</v>
      </c>
      <c r="AM124" s="100">
        <v>0</v>
      </c>
      <c r="AN124" s="100">
        <v>0</v>
      </c>
      <c r="AO124" s="100">
        <v>0</v>
      </c>
      <c r="AP124" s="100">
        <f t="shared" si="47"/>
        <v>137779</v>
      </c>
      <c r="AQ124" s="101">
        <f t="shared" si="49"/>
        <v>2893345</v>
      </c>
      <c r="AR124" s="101">
        <v>0</v>
      </c>
      <c r="AS124" s="101">
        <v>0</v>
      </c>
      <c r="AT124" s="102" t="s">
        <v>33</v>
      </c>
      <c r="AU124" s="109">
        <v>7</v>
      </c>
      <c r="AV124" s="100">
        <v>5.5</v>
      </c>
      <c r="AW124" s="105"/>
      <c r="AX124" s="106">
        <f t="shared" si="52"/>
        <v>0.85385069923182588</v>
      </c>
      <c r="AY124" s="101">
        <f t="shared" si="53"/>
        <v>23323</v>
      </c>
      <c r="AZ124" s="107"/>
      <c r="BA124" s="94">
        <v>45409.645833333336</v>
      </c>
      <c r="BB124" s="94">
        <v>45409.649305555555</v>
      </c>
      <c r="BC124" s="94">
        <v>45409.720833333333</v>
      </c>
      <c r="BD124" s="94">
        <v>45409.856249999997</v>
      </c>
      <c r="BE124" s="95">
        <f t="shared" si="54"/>
        <v>0.21041666666133096</v>
      </c>
      <c r="BF124" s="95">
        <v>1.2500000000000001E-2</v>
      </c>
      <c r="BG124" s="95">
        <v>5.9027777777777776E-2</v>
      </c>
      <c r="BH124" s="95">
        <f t="shared" si="55"/>
        <v>3.4722222189884633E-3</v>
      </c>
      <c r="BI124" s="95">
        <f t="shared" si="55"/>
        <v>7.1527777778101154E-2</v>
      </c>
      <c r="BJ124" s="95">
        <f t="shared" si="55"/>
        <v>0.13541666666424135</v>
      </c>
      <c r="BK124" s="95">
        <f t="shared" si="56"/>
        <v>0.2069444444423425</v>
      </c>
      <c r="BL124" s="95">
        <f t="shared" si="57"/>
        <v>0.1354166666645647</v>
      </c>
      <c r="BM124" s="95">
        <f t="shared" si="58"/>
        <v>2.0833333279976218E-3</v>
      </c>
      <c r="BN124" s="110"/>
    </row>
    <row r="125" spans="1:66" s="8" customFormat="1" ht="12.75" customHeight="1" x14ac:dyDescent="0.25">
      <c r="A125" s="90">
        <v>90</v>
      </c>
      <c r="B125" s="90">
        <v>90</v>
      </c>
      <c r="C125" s="90">
        <v>16</v>
      </c>
      <c r="D125" s="90" t="s">
        <v>113</v>
      </c>
      <c r="E125" s="91" t="s">
        <v>188</v>
      </c>
      <c r="F125" s="90" t="s">
        <v>29</v>
      </c>
      <c r="G125" s="90" t="s">
        <v>15</v>
      </c>
      <c r="H125" s="90" t="s">
        <v>124</v>
      </c>
      <c r="I125" s="92" t="s">
        <v>245</v>
      </c>
      <c r="J125" s="93"/>
      <c r="K125" s="92" t="s">
        <v>117</v>
      </c>
      <c r="L125" s="92">
        <v>461000210</v>
      </c>
      <c r="M125" s="93">
        <v>45410</v>
      </c>
      <c r="N125" s="94">
        <v>45409.902777777781</v>
      </c>
      <c r="O125" s="94">
        <v>45409.902777777781</v>
      </c>
      <c r="P125" s="94">
        <v>45409.90625</v>
      </c>
      <c r="Q125" s="94">
        <v>45410.104166666664</v>
      </c>
      <c r="R125" s="114" t="s">
        <v>118</v>
      </c>
      <c r="S125" s="114" t="s">
        <v>118</v>
      </c>
      <c r="T125" s="114">
        <v>45410.145833333336</v>
      </c>
      <c r="U125" s="114">
        <v>45410.237500000003</v>
      </c>
      <c r="V125" s="95">
        <f t="shared" si="50"/>
        <v>0.20138888888322981</v>
      </c>
      <c r="W125" s="95">
        <v>0.20833333333333334</v>
      </c>
      <c r="X125" s="95" t="str">
        <f t="shared" si="51"/>
        <v>00:00</v>
      </c>
      <c r="Y125" s="96">
        <v>0</v>
      </c>
      <c r="Z125" s="96">
        <v>58</v>
      </c>
      <c r="AA125" s="96">
        <f t="shared" si="42"/>
        <v>58</v>
      </c>
      <c r="AB125" s="97">
        <f t="shared" si="43"/>
        <v>0</v>
      </c>
      <c r="AC125" s="97">
        <f t="shared" si="44"/>
        <v>3924.6199999999994</v>
      </c>
      <c r="AD125" s="98">
        <v>3924.62</v>
      </c>
      <c r="AE125" s="98">
        <v>4037.9</v>
      </c>
      <c r="AF125" s="98">
        <v>4039.6</v>
      </c>
      <c r="AG125" s="98">
        <f t="shared" si="45"/>
        <v>114.98000000000002</v>
      </c>
      <c r="AH125" s="99">
        <v>797.2</v>
      </c>
      <c r="AI125" s="100">
        <f t="shared" si="46"/>
        <v>3220369.12</v>
      </c>
      <c r="AJ125" s="100">
        <f>(0*AH125)*2</f>
        <v>0</v>
      </c>
      <c r="AK125" s="100">
        <v>0</v>
      </c>
      <c r="AL125" s="100">
        <v>0</v>
      </c>
      <c r="AM125" s="100">
        <v>0</v>
      </c>
      <c r="AN125" s="100">
        <v>0</v>
      </c>
      <c r="AO125" s="100">
        <v>0</v>
      </c>
      <c r="AP125" s="100">
        <f t="shared" si="47"/>
        <v>161019</v>
      </c>
      <c r="AQ125" s="101">
        <f t="shared" si="49"/>
        <v>3381389</v>
      </c>
      <c r="AR125" s="101">
        <v>0</v>
      </c>
      <c r="AS125" s="101">
        <v>0</v>
      </c>
      <c r="AT125" s="102" t="s">
        <v>33</v>
      </c>
      <c r="AU125" s="109" t="s">
        <v>118</v>
      </c>
      <c r="AV125" s="100">
        <v>0</v>
      </c>
      <c r="AW125" s="105"/>
      <c r="AX125" s="106">
        <f t="shared" si="52"/>
        <v>2.8463214179621747</v>
      </c>
      <c r="AY125" s="101">
        <f t="shared" si="53"/>
        <v>91663</v>
      </c>
      <c r="AZ125" s="107"/>
      <c r="BA125" s="94">
        <v>45409.902777777781</v>
      </c>
      <c r="BB125" s="94">
        <v>45409.90625</v>
      </c>
      <c r="BC125" s="94">
        <v>45409.922222222223</v>
      </c>
      <c r="BD125" s="94">
        <v>45410.090277777781</v>
      </c>
      <c r="BE125" s="95">
        <f t="shared" si="54"/>
        <v>0.1875</v>
      </c>
      <c r="BF125" s="95">
        <v>2.0833333333333333E-3</v>
      </c>
      <c r="BG125" s="95">
        <v>6.9444444444444448E-2</v>
      </c>
      <c r="BH125" s="95">
        <f t="shared" si="55"/>
        <v>3.4722222189884633E-3</v>
      </c>
      <c r="BI125" s="95">
        <f t="shared" si="55"/>
        <v>1.5972222223354038E-2</v>
      </c>
      <c r="BJ125" s="95">
        <f t="shared" si="55"/>
        <v>0.1680555555576575</v>
      </c>
      <c r="BK125" s="95">
        <f t="shared" si="56"/>
        <v>0.18402777778101154</v>
      </c>
      <c r="BL125" s="95">
        <f t="shared" si="57"/>
        <v>0.11250000000323376</v>
      </c>
      <c r="BM125" s="95" t="str">
        <f t="shared" si="58"/>
        <v>00:00</v>
      </c>
      <c r="BN125" s="110"/>
    </row>
    <row r="126" spans="1:66" s="8" customFormat="1" ht="12.75" customHeight="1" x14ac:dyDescent="0.25">
      <c r="A126" s="90">
        <v>91</v>
      </c>
      <c r="B126" s="90">
        <v>91</v>
      </c>
      <c r="C126" s="90">
        <v>5</v>
      </c>
      <c r="D126" s="90" t="s">
        <v>148</v>
      </c>
      <c r="E126" s="91" t="s">
        <v>235</v>
      </c>
      <c r="F126" s="90" t="s">
        <v>16</v>
      </c>
      <c r="G126" s="90" t="s">
        <v>17</v>
      </c>
      <c r="H126" s="90" t="s">
        <v>150</v>
      </c>
      <c r="I126" s="92" t="s">
        <v>246</v>
      </c>
      <c r="J126" s="93">
        <v>45407</v>
      </c>
      <c r="K126" s="92" t="s">
        <v>122</v>
      </c>
      <c r="L126" s="92">
        <v>461000211</v>
      </c>
      <c r="M126" s="93">
        <v>45410</v>
      </c>
      <c r="N126" s="94">
        <v>45410.166666666664</v>
      </c>
      <c r="O126" s="94">
        <v>45410.166666666664</v>
      </c>
      <c r="P126" s="94">
        <v>45410.170138888891</v>
      </c>
      <c r="Q126" s="94">
        <v>45410.375</v>
      </c>
      <c r="R126" s="114" t="s">
        <v>118</v>
      </c>
      <c r="S126" s="114" t="s">
        <v>118</v>
      </c>
      <c r="T126" s="114">
        <v>45410.402777777781</v>
      </c>
      <c r="U126" s="114">
        <v>45410.499305555553</v>
      </c>
      <c r="V126" s="95">
        <f t="shared" si="50"/>
        <v>0.20833333333575865</v>
      </c>
      <c r="W126" s="95">
        <v>0.20833333333333334</v>
      </c>
      <c r="X126" s="95">
        <f t="shared" si="51"/>
        <v>2.4253099528692701E-12</v>
      </c>
      <c r="Y126" s="96">
        <v>0</v>
      </c>
      <c r="Z126" s="96">
        <v>58</v>
      </c>
      <c r="AA126" s="96">
        <f t="shared" si="42"/>
        <v>58</v>
      </c>
      <c r="AB126" s="97">
        <f t="shared" si="43"/>
        <v>0</v>
      </c>
      <c r="AC126" s="97">
        <f t="shared" si="44"/>
        <v>3946.88</v>
      </c>
      <c r="AD126" s="98">
        <v>3946.88</v>
      </c>
      <c r="AE126" s="98">
        <v>4002.7</v>
      </c>
      <c r="AF126" s="98">
        <v>4009.6</v>
      </c>
      <c r="AG126" s="98">
        <f t="shared" si="45"/>
        <v>62.7199999999998</v>
      </c>
      <c r="AH126" s="99">
        <v>672.5</v>
      </c>
      <c r="AI126" s="100">
        <f t="shared" si="46"/>
        <v>2696456</v>
      </c>
      <c r="AJ126" s="100">
        <f>(1*AH126)*2</f>
        <v>1345</v>
      </c>
      <c r="AK126" s="100">
        <v>0</v>
      </c>
      <c r="AL126" s="100">
        <v>0</v>
      </c>
      <c r="AM126" s="100">
        <v>0</v>
      </c>
      <c r="AN126" s="100">
        <v>0</v>
      </c>
      <c r="AO126" s="100">
        <v>0</v>
      </c>
      <c r="AP126" s="100">
        <f t="shared" si="47"/>
        <v>134891</v>
      </c>
      <c r="AQ126" s="101">
        <f t="shared" si="49"/>
        <v>2832692</v>
      </c>
      <c r="AR126" s="101">
        <v>0</v>
      </c>
      <c r="AS126" s="101">
        <v>0</v>
      </c>
      <c r="AT126" s="102" t="s">
        <v>33</v>
      </c>
      <c r="AU126" s="109" t="s">
        <v>118</v>
      </c>
      <c r="AV126" s="100">
        <v>0</v>
      </c>
      <c r="AW126" s="105"/>
      <c r="AX126" s="106">
        <f t="shared" si="52"/>
        <v>1.5642458100558607</v>
      </c>
      <c r="AY126" s="101">
        <f t="shared" si="53"/>
        <v>42180</v>
      </c>
      <c r="AZ126" s="107"/>
      <c r="BA126" s="94">
        <v>45410.166666666664</v>
      </c>
      <c r="BB126" s="94">
        <v>45410.170138888891</v>
      </c>
      <c r="BC126" s="94">
        <v>45410.173611111109</v>
      </c>
      <c r="BD126" s="94">
        <v>45410.335416666669</v>
      </c>
      <c r="BE126" s="95">
        <f t="shared" si="54"/>
        <v>0.16875000000436557</v>
      </c>
      <c r="BF126" s="95">
        <v>3.125E-2</v>
      </c>
      <c r="BG126" s="95">
        <v>3.472222222222222E-3</v>
      </c>
      <c r="BH126" s="95">
        <f t="shared" si="55"/>
        <v>3.4722222262644209E-3</v>
      </c>
      <c r="BI126" s="95">
        <f t="shared" si="55"/>
        <v>3.4722222189884633E-3</v>
      </c>
      <c r="BJ126" s="95">
        <f t="shared" si="55"/>
        <v>0.16180555555911269</v>
      </c>
      <c r="BK126" s="95">
        <f t="shared" si="56"/>
        <v>0.16527777777810115</v>
      </c>
      <c r="BL126" s="95">
        <f t="shared" si="57"/>
        <v>0.13055555555587894</v>
      </c>
      <c r="BM126" s="95" t="str">
        <f t="shared" si="58"/>
        <v>00:00</v>
      </c>
      <c r="BN126" s="110"/>
    </row>
    <row r="127" spans="1:66" s="8" customFormat="1" ht="12.75" customHeight="1" x14ac:dyDescent="0.25">
      <c r="A127" s="90">
        <v>92</v>
      </c>
      <c r="B127" s="90">
        <v>92</v>
      </c>
      <c r="C127" s="90">
        <v>5</v>
      </c>
      <c r="D127" s="90" t="s">
        <v>113</v>
      </c>
      <c r="E127" s="91" t="s">
        <v>114</v>
      </c>
      <c r="F127" s="90" t="s">
        <v>39</v>
      </c>
      <c r="G127" s="90" t="s">
        <v>12</v>
      </c>
      <c r="H127" s="90" t="s">
        <v>115</v>
      </c>
      <c r="I127" s="92" t="s">
        <v>247</v>
      </c>
      <c r="J127" s="93">
        <v>45409</v>
      </c>
      <c r="K127" s="92" t="s">
        <v>117</v>
      </c>
      <c r="L127" s="92">
        <v>282000897</v>
      </c>
      <c r="M127" s="93">
        <v>45411</v>
      </c>
      <c r="N127" s="94">
        <v>45410.447916666664</v>
      </c>
      <c r="O127" s="94">
        <v>45410.447916666664</v>
      </c>
      <c r="P127" s="94">
        <v>45410.458333333336</v>
      </c>
      <c r="Q127" s="94">
        <v>45410.65625</v>
      </c>
      <c r="R127" s="114" t="s">
        <v>118</v>
      </c>
      <c r="S127" s="114">
        <v>45410.729166666664</v>
      </c>
      <c r="T127" s="114">
        <v>45410.736111111109</v>
      </c>
      <c r="U127" s="114">
        <v>45410.840277777781</v>
      </c>
      <c r="V127" s="95">
        <f t="shared" si="50"/>
        <v>0.20833333333575865</v>
      </c>
      <c r="W127" s="95">
        <v>0.20833333333333334</v>
      </c>
      <c r="X127" s="95">
        <f t="shared" si="51"/>
        <v>2.4253099528692701E-12</v>
      </c>
      <c r="Y127" s="96">
        <v>0</v>
      </c>
      <c r="Z127" s="96">
        <v>58</v>
      </c>
      <c r="AA127" s="96">
        <f t="shared" si="42"/>
        <v>58</v>
      </c>
      <c r="AB127" s="97">
        <f t="shared" si="43"/>
        <v>0</v>
      </c>
      <c r="AC127" s="97">
        <f t="shared" si="44"/>
        <v>3981.77</v>
      </c>
      <c r="AD127" s="98">
        <v>3981.77</v>
      </c>
      <c r="AE127" s="98">
        <v>4028.2</v>
      </c>
      <c r="AF127" s="98">
        <v>4038.8</v>
      </c>
      <c r="AG127" s="98">
        <f t="shared" si="45"/>
        <v>57.0300000000002</v>
      </c>
      <c r="AH127" s="99">
        <v>1586.7</v>
      </c>
      <c r="AI127" s="100">
        <f t="shared" si="46"/>
        <v>6408363.9600000009</v>
      </c>
      <c r="AJ127" s="100">
        <f t="shared" ref="AJ127:AJ133" si="59">(0*AH127)*2</f>
        <v>0</v>
      </c>
      <c r="AK127" s="100">
        <v>0</v>
      </c>
      <c r="AL127" s="100">
        <v>24140</v>
      </c>
      <c r="AM127" s="100">
        <v>0</v>
      </c>
      <c r="AN127" s="100">
        <v>0</v>
      </c>
      <c r="AO127" s="100">
        <f>IFERROR(AF127*20+(((AJ127/AH127)/2)*20),0)</f>
        <v>80776</v>
      </c>
      <c r="AP127" s="100">
        <f t="shared" ref="AP127:AP158" si="60">ROUNDUP(SUM(AI127:AO127)*5%,0)</f>
        <v>325664</v>
      </c>
      <c r="AQ127" s="101">
        <f t="shared" si="49"/>
        <v>6838944</v>
      </c>
      <c r="AR127" s="101">
        <v>0</v>
      </c>
      <c r="AS127" s="101">
        <v>0</v>
      </c>
      <c r="AT127" s="102" t="s">
        <v>33</v>
      </c>
      <c r="AU127" s="109">
        <v>4</v>
      </c>
      <c r="AV127" s="100">
        <v>3</v>
      </c>
      <c r="AW127" s="105"/>
      <c r="AX127" s="106">
        <f t="shared" si="52"/>
        <v>1.4120530850747797</v>
      </c>
      <c r="AY127" s="101">
        <f t="shared" si="53"/>
        <v>90490</v>
      </c>
      <c r="AZ127" s="107"/>
      <c r="BA127" s="94">
        <v>45410.447916666664</v>
      </c>
      <c r="BB127" s="94">
        <v>45410.458333333336</v>
      </c>
      <c r="BC127" s="94">
        <v>45410.46875</v>
      </c>
      <c r="BD127" s="94">
        <v>45410.716666666667</v>
      </c>
      <c r="BE127" s="95">
        <f t="shared" si="54"/>
        <v>0.26875000000291038</v>
      </c>
      <c r="BF127" s="95">
        <v>2.4305555555555556E-2</v>
      </c>
      <c r="BG127" s="95">
        <v>0.11319444444444444</v>
      </c>
      <c r="BH127" s="95">
        <f t="shared" si="55"/>
        <v>1.0416666671517305E-2</v>
      </c>
      <c r="BI127" s="95">
        <f t="shared" si="55"/>
        <v>1.0416666664241347E-2</v>
      </c>
      <c r="BJ127" s="95">
        <f t="shared" si="55"/>
        <v>0.24791666666715173</v>
      </c>
      <c r="BK127" s="95">
        <f t="shared" si="56"/>
        <v>0.25833333333139308</v>
      </c>
      <c r="BL127" s="95">
        <f t="shared" si="57"/>
        <v>0.12083333333139308</v>
      </c>
      <c r="BM127" s="95">
        <f t="shared" si="58"/>
        <v>6.041666666957704E-2</v>
      </c>
      <c r="BN127" s="110"/>
    </row>
    <row r="128" spans="1:66" s="8" customFormat="1" ht="12.75" customHeight="1" x14ac:dyDescent="0.25">
      <c r="A128" s="90">
        <v>93</v>
      </c>
      <c r="B128" s="90">
        <v>93</v>
      </c>
      <c r="C128" s="90">
        <v>6</v>
      </c>
      <c r="D128" s="90" t="s">
        <v>148</v>
      </c>
      <c r="E128" s="91" t="s">
        <v>235</v>
      </c>
      <c r="F128" s="90" t="s">
        <v>16</v>
      </c>
      <c r="G128" s="90" t="s">
        <v>17</v>
      </c>
      <c r="H128" s="90" t="s">
        <v>150</v>
      </c>
      <c r="I128" s="92" t="s">
        <v>248</v>
      </c>
      <c r="J128" s="93">
        <v>45409</v>
      </c>
      <c r="K128" s="92" t="s">
        <v>122</v>
      </c>
      <c r="L128" s="92">
        <v>461000212</v>
      </c>
      <c r="M128" s="93">
        <v>45411</v>
      </c>
      <c r="N128" s="94">
        <v>45410.708333333336</v>
      </c>
      <c r="O128" s="94">
        <v>45410.708333333336</v>
      </c>
      <c r="P128" s="94">
        <v>45410.711805555555</v>
      </c>
      <c r="Q128" s="94">
        <v>45410.90625</v>
      </c>
      <c r="R128" s="114" t="s">
        <v>118</v>
      </c>
      <c r="S128" s="114" t="s">
        <v>118</v>
      </c>
      <c r="T128" s="114">
        <v>45410.947916666664</v>
      </c>
      <c r="U128" s="114">
        <v>45411.083333333336</v>
      </c>
      <c r="V128" s="95">
        <f t="shared" si="50"/>
        <v>0.19791666666424135</v>
      </c>
      <c r="W128" s="95">
        <v>0.20833333333333334</v>
      </c>
      <c r="X128" s="95" t="str">
        <f t="shared" si="51"/>
        <v>00:00</v>
      </c>
      <c r="Y128" s="96">
        <v>0</v>
      </c>
      <c r="Z128" s="96">
        <v>59</v>
      </c>
      <c r="AA128" s="96">
        <f t="shared" si="42"/>
        <v>59</v>
      </c>
      <c r="AB128" s="97">
        <f t="shared" si="43"/>
        <v>0</v>
      </c>
      <c r="AC128" s="97">
        <f t="shared" si="44"/>
        <v>4036.21</v>
      </c>
      <c r="AD128" s="98">
        <v>4036.21</v>
      </c>
      <c r="AE128" s="98">
        <v>4091.1</v>
      </c>
      <c r="AF128" s="98">
        <v>4097.8</v>
      </c>
      <c r="AG128" s="98">
        <f t="shared" si="45"/>
        <v>61.590000000000146</v>
      </c>
      <c r="AH128" s="99">
        <v>672.5</v>
      </c>
      <c r="AI128" s="100">
        <f t="shared" si="46"/>
        <v>2755770.5</v>
      </c>
      <c r="AJ128" s="100">
        <f t="shared" si="59"/>
        <v>0</v>
      </c>
      <c r="AK128" s="100">
        <v>0</v>
      </c>
      <c r="AL128" s="100">
        <v>24290</v>
      </c>
      <c r="AM128" s="100">
        <v>0</v>
      </c>
      <c r="AN128" s="100">
        <v>0</v>
      </c>
      <c r="AO128" s="100">
        <v>0</v>
      </c>
      <c r="AP128" s="100">
        <f t="shared" si="60"/>
        <v>139004</v>
      </c>
      <c r="AQ128" s="101">
        <f t="shared" si="49"/>
        <v>2919065</v>
      </c>
      <c r="AR128" s="101">
        <v>0</v>
      </c>
      <c r="AS128" s="101">
        <v>0</v>
      </c>
      <c r="AT128" s="102" t="s">
        <v>33</v>
      </c>
      <c r="AU128" s="109">
        <v>2</v>
      </c>
      <c r="AV128" s="100">
        <v>2</v>
      </c>
      <c r="AW128" s="105"/>
      <c r="AX128" s="106">
        <f t="shared" si="52"/>
        <v>1.5030016106203363</v>
      </c>
      <c r="AY128" s="101">
        <f t="shared" si="53"/>
        <v>41420</v>
      </c>
      <c r="AZ128" s="107"/>
      <c r="BA128" s="94">
        <v>45410.708333333336</v>
      </c>
      <c r="BB128" s="94">
        <v>45410.711805555555</v>
      </c>
      <c r="BC128" s="94">
        <v>45410.760416666664</v>
      </c>
      <c r="BD128" s="94">
        <v>45410.875</v>
      </c>
      <c r="BE128" s="95">
        <f t="shared" si="54"/>
        <v>0.16666666666424135</v>
      </c>
      <c r="BF128" s="95">
        <v>2.7777777777777776E-2</v>
      </c>
      <c r="BG128" s="95">
        <v>2.0833333333333332E-2</v>
      </c>
      <c r="BH128" s="95">
        <f t="shared" si="55"/>
        <v>3.4722222189884633E-3</v>
      </c>
      <c r="BI128" s="95">
        <f t="shared" si="55"/>
        <v>4.8611111109494232E-2</v>
      </c>
      <c r="BJ128" s="95">
        <f t="shared" si="55"/>
        <v>0.11458333333575865</v>
      </c>
      <c r="BK128" s="95">
        <f t="shared" si="56"/>
        <v>0.16319444444525288</v>
      </c>
      <c r="BL128" s="95">
        <f t="shared" si="57"/>
        <v>0.11458333333414177</v>
      </c>
      <c r="BM128" s="95" t="str">
        <f t="shared" si="58"/>
        <v>00:00</v>
      </c>
      <c r="BN128" s="110"/>
    </row>
    <row r="129" spans="1:66" s="8" customFormat="1" ht="12.75" customHeight="1" x14ac:dyDescent="0.25">
      <c r="A129" s="90">
        <v>94</v>
      </c>
      <c r="B129" s="90">
        <v>94</v>
      </c>
      <c r="C129" s="90">
        <v>17</v>
      </c>
      <c r="D129" s="90" t="s">
        <v>113</v>
      </c>
      <c r="E129" s="91" t="s">
        <v>188</v>
      </c>
      <c r="F129" s="90" t="s">
        <v>29</v>
      </c>
      <c r="G129" s="90" t="s">
        <v>15</v>
      </c>
      <c r="H129" s="90" t="s">
        <v>124</v>
      </c>
      <c r="I129" s="92" t="s">
        <v>249</v>
      </c>
      <c r="J129" s="93"/>
      <c r="K129" s="92" t="s">
        <v>117</v>
      </c>
      <c r="L129" s="92">
        <v>261005717</v>
      </c>
      <c r="M129" s="93">
        <v>45411</v>
      </c>
      <c r="N129" s="94">
        <v>45410.979166666664</v>
      </c>
      <c r="O129" s="94">
        <v>45410.979166666664</v>
      </c>
      <c r="P129" s="94">
        <v>45410.982638888891</v>
      </c>
      <c r="Q129" s="94">
        <v>45411.1875</v>
      </c>
      <c r="R129" s="114" t="s">
        <v>118</v>
      </c>
      <c r="S129" s="114" t="s">
        <v>118</v>
      </c>
      <c r="T129" s="114">
        <v>45411.229166666664</v>
      </c>
      <c r="U129" s="114">
        <v>45411.328472222223</v>
      </c>
      <c r="V129" s="95">
        <f t="shared" si="50"/>
        <v>0.20833333333575865</v>
      </c>
      <c r="W129" s="95">
        <v>0.20833333333333334</v>
      </c>
      <c r="X129" s="95">
        <f t="shared" si="51"/>
        <v>2.4253099528692701E-12</v>
      </c>
      <c r="Y129" s="96">
        <v>0</v>
      </c>
      <c r="Z129" s="96">
        <v>59</v>
      </c>
      <c r="AA129" s="96">
        <f t="shared" si="42"/>
        <v>59</v>
      </c>
      <c r="AB129" s="97">
        <f t="shared" si="43"/>
        <v>0</v>
      </c>
      <c r="AC129" s="97">
        <f t="shared" si="44"/>
        <v>3953.2600000000007</v>
      </c>
      <c r="AD129" s="98">
        <v>3953.26</v>
      </c>
      <c r="AE129" s="98">
        <v>4105.2</v>
      </c>
      <c r="AF129" s="98">
        <v>4105.6000000000004</v>
      </c>
      <c r="AG129" s="98">
        <f t="shared" si="45"/>
        <v>152.34000000000015</v>
      </c>
      <c r="AH129" s="99">
        <v>797.2</v>
      </c>
      <c r="AI129" s="100">
        <f t="shared" si="46"/>
        <v>3272984.3200000003</v>
      </c>
      <c r="AJ129" s="100">
        <f t="shared" si="59"/>
        <v>0</v>
      </c>
      <c r="AK129" s="100">
        <v>0</v>
      </c>
      <c r="AL129" s="100">
        <v>0</v>
      </c>
      <c r="AM129" s="100">
        <v>0</v>
      </c>
      <c r="AN129" s="100">
        <v>0</v>
      </c>
      <c r="AO129" s="100">
        <v>0</v>
      </c>
      <c r="AP129" s="100">
        <f t="shared" si="60"/>
        <v>163650</v>
      </c>
      <c r="AQ129" s="101">
        <f t="shared" si="49"/>
        <v>3436635</v>
      </c>
      <c r="AR129" s="101">
        <v>0</v>
      </c>
      <c r="AS129" s="101">
        <v>0</v>
      </c>
      <c r="AT129" s="102" t="s">
        <v>33</v>
      </c>
      <c r="AU129" s="109" t="s">
        <v>118</v>
      </c>
      <c r="AV129" s="100">
        <v>0</v>
      </c>
      <c r="AW129" s="105"/>
      <c r="AX129" s="106">
        <f t="shared" si="52"/>
        <v>3.7105416991426372</v>
      </c>
      <c r="AY129" s="101">
        <f t="shared" si="53"/>
        <v>121446</v>
      </c>
      <c r="AZ129" s="107"/>
      <c r="BA129" s="94">
        <v>45410.979166666664</v>
      </c>
      <c r="BB129" s="94">
        <v>45410.982638888891</v>
      </c>
      <c r="BC129" s="94">
        <v>45410.986111111109</v>
      </c>
      <c r="BD129" s="94">
        <v>45411.152083333334</v>
      </c>
      <c r="BE129" s="95">
        <f t="shared" si="54"/>
        <v>0.17291666667006211</v>
      </c>
      <c r="BF129" s="95">
        <v>1.3194444444444444E-2</v>
      </c>
      <c r="BG129" s="95">
        <v>5.2777777777777778E-2</v>
      </c>
      <c r="BH129" s="95">
        <f t="shared" si="55"/>
        <v>3.4722222262644209E-3</v>
      </c>
      <c r="BI129" s="95">
        <f t="shared" si="55"/>
        <v>3.4722222189884633E-3</v>
      </c>
      <c r="BJ129" s="95">
        <f t="shared" si="55"/>
        <v>0.16597222222480923</v>
      </c>
      <c r="BK129" s="95">
        <f t="shared" si="56"/>
        <v>0.16944444444379769</v>
      </c>
      <c r="BL129" s="95">
        <f t="shared" si="57"/>
        <v>0.10347222222157546</v>
      </c>
      <c r="BM129" s="95" t="str">
        <f t="shared" si="58"/>
        <v>00:00</v>
      </c>
      <c r="BN129" s="110"/>
    </row>
    <row r="130" spans="1:66" s="8" customFormat="1" ht="12.75" customHeight="1" x14ac:dyDescent="0.25">
      <c r="A130" s="90">
        <v>95</v>
      </c>
      <c r="B130" s="90">
        <v>95</v>
      </c>
      <c r="C130" s="90">
        <v>7</v>
      </c>
      <c r="D130" s="90" t="s">
        <v>148</v>
      </c>
      <c r="E130" s="91" t="s">
        <v>235</v>
      </c>
      <c r="F130" s="90" t="s">
        <v>16</v>
      </c>
      <c r="G130" s="90" t="s">
        <v>17</v>
      </c>
      <c r="H130" s="90" t="s">
        <v>150</v>
      </c>
      <c r="I130" s="92" t="s">
        <v>250</v>
      </c>
      <c r="J130" s="93">
        <v>45409</v>
      </c>
      <c r="K130" s="92" t="s">
        <v>122</v>
      </c>
      <c r="L130" s="92">
        <v>461000213</v>
      </c>
      <c r="M130" s="93">
        <v>45411</v>
      </c>
      <c r="N130" s="94">
        <v>45411.125</v>
      </c>
      <c r="O130" s="94">
        <v>45411.125</v>
      </c>
      <c r="P130" s="94">
        <v>45411.131944444445</v>
      </c>
      <c r="Q130" s="94">
        <v>45411.333333333336</v>
      </c>
      <c r="R130" s="114" t="s">
        <v>118</v>
      </c>
      <c r="S130" s="114" t="s">
        <v>118</v>
      </c>
      <c r="T130" s="114">
        <v>45411.416666666664</v>
      </c>
      <c r="U130" s="114">
        <v>45411.527777777781</v>
      </c>
      <c r="V130" s="95">
        <f t="shared" si="50"/>
        <v>0.20833333333575865</v>
      </c>
      <c r="W130" s="95">
        <v>0.20833333333333334</v>
      </c>
      <c r="X130" s="95">
        <f t="shared" si="51"/>
        <v>2.4253099528692701E-12</v>
      </c>
      <c r="Y130" s="96">
        <v>0</v>
      </c>
      <c r="Z130" s="96">
        <v>58</v>
      </c>
      <c r="AA130" s="96">
        <f t="shared" si="42"/>
        <v>58</v>
      </c>
      <c r="AB130" s="97">
        <f t="shared" si="43"/>
        <v>0</v>
      </c>
      <c r="AC130" s="97">
        <f t="shared" si="44"/>
        <v>4009.2</v>
      </c>
      <c r="AD130" s="98">
        <v>4009.2</v>
      </c>
      <c r="AE130" s="98">
        <v>4034.7</v>
      </c>
      <c r="AF130" s="98">
        <v>4048.6</v>
      </c>
      <c r="AG130" s="98">
        <f t="shared" si="45"/>
        <v>39.400000000000091</v>
      </c>
      <c r="AH130" s="99">
        <v>672.5</v>
      </c>
      <c r="AI130" s="100">
        <f t="shared" si="46"/>
        <v>2722683.5</v>
      </c>
      <c r="AJ130" s="100">
        <f t="shared" si="59"/>
        <v>0</v>
      </c>
      <c r="AK130" s="100">
        <v>0</v>
      </c>
      <c r="AL130" s="100">
        <v>24140</v>
      </c>
      <c r="AM130" s="100">
        <v>0</v>
      </c>
      <c r="AN130" s="100">
        <v>0</v>
      </c>
      <c r="AO130" s="100">
        <v>0</v>
      </c>
      <c r="AP130" s="100">
        <f t="shared" si="60"/>
        <v>137342</v>
      </c>
      <c r="AQ130" s="101">
        <f t="shared" si="49"/>
        <v>2884166</v>
      </c>
      <c r="AR130" s="101">
        <v>0</v>
      </c>
      <c r="AS130" s="101">
        <v>0</v>
      </c>
      <c r="AT130" s="102" t="s">
        <v>33</v>
      </c>
      <c r="AU130" s="109">
        <v>8</v>
      </c>
      <c r="AV130" s="100">
        <v>5.5</v>
      </c>
      <c r="AW130" s="105"/>
      <c r="AX130" s="106">
        <f t="shared" si="52"/>
        <v>0.9731759126611691</v>
      </c>
      <c r="AY130" s="101">
        <f t="shared" si="53"/>
        <v>26497</v>
      </c>
      <c r="AZ130" s="107"/>
      <c r="BA130" s="94">
        <v>45411.125</v>
      </c>
      <c r="BB130" s="94">
        <v>45411.131944444445</v>
      </c>
      <c r="BC130" s="94">
        <v>45411.178472222222</v>
      </c>
      <c r="BD130" s="94">
        <v>45411.304166666669</v>
      </c>
      <c r="BE130" s="95">
        <f t="shared" si="54"/>
        <v>0.17916666666860692</v>
      </c>
      <c r="BF130" s="95">
        <v>1.9444444444444445E-2</v>
      </c>
      <c r="BG130" s="95">
        <v>2.7083333333333334E-2</v>
      </c>
      <c r="BH130" s="95">
        <f t="shared" si="55"/>
        <v>6.9444444452528842E-3</v>
      </c>
      <c r="BI130" s="95">
        <f t="shared" si="55"/>
        <v>4.6527777776645962E-2</v>
      </c>
      <c r="BJ130" s="95">
        <f t="shared" si="55"/>
        <v>0.12569444444670808</v>
      </c>
      <c r="BK130" s="95">
        <f t="shared" si="56"/>
        <v>0.17222222222335404</v>
      </c>
      <c r="BL130" s="95">
        <f t="shared" si="57"/>
        <v>0.12569444444557626</v>
      </c>
      <c r="BM130" s="95" t="str">
        <f t="shared" si="58"/>
        <v>00:00</v>
      </c>
      <c r="BN130" s="110"/>
    </row>
    <row r="131" spans="1:66" s="8" customFormat="1" ht="12.75" customHeight="1" x14ac:dyDescent="0.25">
      <c r="A131" s="90">
        <v>96</v>
      </c>
      <c r="B131" s="90">
        <v>96</v>
      </c>
      <c r="C131" s="90">
        <v>14</v>
      </c>
      <c r="D131" s="90" t="s">
        <v>113</v>
      </c>
      <c r="E131" s="91" t="s">
        <v>156</v>
      </c>
      <c r="F131" s="90" t="s">
        <v>37</v>
      </c>
      <c r="G131" s="90" t="s">
        <v>8</v>
      </c>
      <c r="H131" s="90" t="s">
        <v>165</v>
      </c>
      <c r="I131" s="92" t="s">
        <v>251</v>
      </c>
      <c r="J131" s="93">
        <v>45405</v>
      </c>
      <c r="K131" s="92" t="s">
        <v>117</v>
      </c>
      <c r="L131" s="92">
        <v>481000035</v>
      </c>
      <c r="M131" s="93">
        <v>45412</v>
      </c>
      <c r="N131" s="94">
        <v>45411.4375</v>
      </c>
      <c r="O131" s="94">
        <v>45411.4375</v>
      </c>
      <c r="P131" s="94">
        <v>45411.440972222219</v>
      </c>
      <c r="Q131" s="94">
        <v>45411.645833333336</v>
      </c>
      <c r="R131" s="114" t="s">
        <v>118</v>
      </c>
      <c r="S131" s="114" t="s">
        <v>118</v>
      </c>
      <c r="T131" s="114">
        <v>45411.6875</v>
      </c>
      <c r="U131" s="114">
        <v>45411.8125</v>
      </c>
      <c r="V131" s="95">
        <f t="shared" si="50"/>
        <v>0.20833333333575865</v>
      </c>
      <c r="W131" s="95">
        <v>0.20833333333333334</v>
      </c>
      <c r="X131" s="95">
        <f t="shared" si="51"/>
        <v>2.4253099528692701E-12</v>
      </c>
      <c r="Y131" s="96">
        <v>0</v>
      </c>
      <c r="Z131" s="96">
        <v>58</v>
      </c>
      <c r="AA131" s="96">
        <f t="shared" si="42"/>
        <v>58</v>
      </c>
      <c r="AB131" s="97">
        <f t="shared" si="43"/>
        <v>0</v>
      </c>
      <c r="AC131" s="97">
        <f t="shared" si="44"/>
        <v>3867.34</v>
      </c>
      <c r="AD131" s="98">
        <v>3867.34</v>
      </c>
      <c r="AE131" s="98">
        <v>4000</v>
      </c>
      <c r="AF131" s="98">
        <v>4002.8</v>
      </c>
      <c r="AG131" s="98">
        <f t="shared" si="45"/>
        <v>135.46000000000004</v>
      </c>
      <c r="AH131" s="99">
        <v>1537.9</v>
      </c>
      <c r="AI131" s="100">
        <f t="shared" si="46"/>
        <v>6155906.120000001</v>
      </c>
      <c r="AJ131" s="100">
        <f t="shared" si="59"/>
        <v>0</v>
      </c>
      <c r="AK131" s="100">
        <v>0</v>
      </c>
      <c r="AL131" s="100">
        <v>24140</v>
      </c>
      <c r="AM131" s="100">
        <v>0</v>
      </c>
      <c r="AN131" s="100">
        <v>0</v>
      </c>
      <c r="AO131" s="100">
        <v>0</v>
      </c>
      <c r="AP131" s="100">
        <f t="shared" si="60"/>
        <v>309003</v>
      </c>
      <c r="AQ131" s="101">
        <f t="shared" si="49"/>
        <v>6489050</v>
      </c>
      <c r="AR131" s="101">
        <v>0</v>
      </c>
      <c r="AS131" s="101">
        <v>0</v>
      </c>
      <c r="AT131" s="102" t="s">
        <v>33</v>
      </c>
      <c r="AU131" s="109">
        <v>1</v>
      </c>
      <c r="AV131" s="100">
        <v>1</v>
      </c>
      <c r="AW131" s="105"/>
      <c r="AX131" s="106">
        <f t="shared" si="52"/>
        <v>3.3841311082242442</v>
      </c>
      <c r="AY131" s="101">
        <f t="shared" si="53"/>
        <v>208324</v>
      </c>
      <c r="AZ131" s="107"/>
      <c r="BA131" s="94">
        <v>45411.4375</v>
      </c>
      <c r="BB131" s="94">
        <v>45411.440972222219</v>
      </c>
      <c r="BC131" s="94">
        <v>45411.444444444445</v>
      </c>
      <c r="BD131" s="94">
        <v>45411.635416666664</v>
      </c>
      <c r="BE131" s="95">
        <f t="shared" si="54"/>
        <v>0.19791666666424135</v>
      </c>
      <c r="BF131" s="95">
        <v>2.7083333333333334E-2</v>
      </c>
      <c r="BG131" s="95">
        <v>5.8333333333333334E-2</v>
      </c>
      <c r="BH131" s="95">
        <f t="shared" si="55"/>
        <v>3.4722222189884633E-3</v>
      </c>
      <c r="BI131" s="95">
        <f t="shared" si="55"/>
        <v>3.4722222262644209E-3</v>
      </c>
      <c r="BJ131" s="95">
        <f t="shared" si="55"/>
        <v>0.19097222221898846</v>
      </c>
      <c r="BK131" s="95">
        <f t="shared" si="56"/>
        <v>0.19444444444525288</v>
      </c>
      <c r="BL131" s="95">
        <f t="shared" si="57"/>
        <v>0.1090277777785862</v>
      </c>
      <c r="BM131" s="95" t="str">
        <f t="shared" si="58"/>
        <v>00:00</v>
      </c>
      <c r="BN131" s="110"/>
    </row>
    <row r="132" spans="1:66" s="8" customFormat="1" ht="12.75" customHeight="1" x14ac:dyDescent="0.25">
      <c r="A132" s="90">
        <v>97</v>
      </c>
      <c r="B132" s="90">
        <v>97</v>
      </c>
      <c r="C132" s="90">
        <v>8</v>
      </c>
      <c r="D132" s="90" t="s">
        <v>148</v>
      </c>
      <c r="E132" s="91" t="s">
        <v>235</v>
      </c>
      <c r="F132" s="90" t="s">
        <v>16</v>
      </c>
      <c r="G132" s="90" t="s">
        <v>17</v>
      </c>
      <c r="H132" s="90" t="s">
        <v>150</v>
      </c>
      <c r="I132" s="92" t="s">
        <v>252</v>
      </c>
      <c r="J132" s="93">
        <v>45409</v>
      </c>
      <c r="K132" s="92" t="s">
        <v>122</v>
      </c>
      <c r="L132" s="92">
        <v>461000214</v>
      </c>
      <c r="M132" s="93">
        <v>45412</v>
      </c>
      <c r="N132" s="94">
        <v>45411.65625</v>
      </c>
      <c r="O132" s="94">
        <v>45411.65625</v>
      </c>
      <c r="P132" s="94">
        <v>45411.659722222219</v>
      </c>
      <c r="Q132" s="94">
        <v>45411.864583333336</v>
      </c>
      <c r="R132" s="114" t="s">
        <v>118</v>
      </c>
      <c r="S132" s="114" t="s">
        <v>118</v>
      </c>
      <c r="T132" s="114">
        <v>45411.979166666664</v>
      </c>
      <c r="U132" s="114">
        <v>45412.118055555555</v>
      </c>
      <c r="V132" s="95">
        <f t="shared" si="50"/>
        <v>0.20833333333575865</v>
      </c>
      <c r="W132" s="95">
        <v>0.20833333333333334</v>
      </c>
      <c r="X132" s="95">
        <f t="shared" si="51"/>
        <v>2.4253099528692701E-12</v>
      </c>
      <c r="Y132" s="96">
        <v>0</v>
      </c>
      <c r="Z132" s="96">
        <v>58</v>
      </c>
      <c r="AA132" s="96">
        <f t="shared" si="42"/>
        <v>58</v>
      </c>
      <c r="AB132" s="97">
        <f t="shared" si="43"/>
        <v>0</v>
      </c>
      <c r="AC132" s="97">
        <f t="shared" si="44"/>
        <v>4026.2799999999997</v>
      </c>
      <c r="AD132" s="98">
        <v>4026.28</v>
      </c>
      <c r="AE132" s="98">
        <v>4050.8</v>
      </c>
      <c r="AF132" s="98">
        <v>4063.8</v>
      </c>
      <c r="AG132" s="98">
        <f t="shared" si="45"/>
        <v>37.519999999999982</v>
      </c>
      <c r="AH132" s="99">
        <v>672.5</v>
      </c>
      <c r="AI132" s="100">
        <f t="shared" si="46"/>
        <v>2732905.5</v>
      </c>
      <c r="AJ132" s="100">
        <f t="shared" si="59"/>
        <v>0</v>
      </c>
      <c r="AK132" s="100">
        <v>0</v>
      </c>
      <c r="AL132" s="100">
        <v>24140</v>
      </c>
      <c r="AM132" s="100">
        <v>0</v>
      </c>
      <c r="AN132" s="100">
        <v>0</v>
      </c>
      <c r="AO132" s="100">
        <v>0</v>
      </c>
      <c r="AP132" s="100">
        <f t="shared" si="60"/>
        <v>137853</v>
      </c>
      <c r="AQ132" s="101">
        <f t="shared" si="49"/>
        <v>2894899</v>
      </c>
      <c r="AR132" s="101">
        <v>0</v>
      </c>
      <c r="AS132" s="101">
        <v>0</v>
      </c>
      <c r="AT132" s="102" t="s">
        <v>33</v>
      </c>
      <c r="AU132" s="109">
        <v>1</v>
      </c>
      <c r="AV132" s="100">
        <v>3</v>
      </c>
      <c r="AW132" s="105"/>
      <c r="AX132" s="106">
        <f t="shared" si="52"/>
        <v>0.92327378315861952</v>
      </c>
      <c r="AY132" s="101">
        <f t="shared" si="53"/>
        <v>25233</v>
      </c>
      <c r="AZ132" s="107"/>
      <c r="BA132" s="94">
        <v>45411.65625</v>
      </c>
      <c r="BB132" s="94">
        <v>45411.659722222219</v>
      </c>
      <c r="BC132" s="94">
        <v>45411.666666666664</v>
      </c>
      <c r="BD132" s="94">
        <v>45411.788194444445</v>
      </c>
      <c r="BE132" s="95">
        <f t="shared" si="54"/>
        <v>0.13194444444525288</v>
      </c>
      <c r="BF132" s="95">
        <v>6.9444444444444441E-3</v>
      </c>
      <c r="BG132" s="95">
        <v>0</v>
      </c>
      <c r="BH132" s="95">
        <f t="shared" si="55"/>
        <v>3.4722222189884633E-3</v>
      </c>
      <c r="BI132" s="95">
        <f t="shared" si="55"/>
        <v>6.9444444452528842E-3</v>
      </c>
      <c r="BJ132" s="95">
        <f t="shared" si="55"/>
        <v>0.12152777778101154</v>
      </c>
      <c r="BK132" s="95">
        <f t="shared" si="56"/>
        <v>0.12847222222626442</v>
      </c>
      <c r="BL132" s="95">
        <f t="shared" si="57"/>
        <v>0.12152777778181997</v>
      </c>
      <c r="BM132" s="95" t="str">
        <f t="shared" si="58"/>
        <v>00:00</v>
      </c>
      <c r="BN132" s="110"/>
    </row>
    <row r="133" spans="1:66" s="8" customFormat="1" ht="12.75" customHeight="1" x14ac:dyDescent="0.25">
      <c r="A133" s="90">
        <v>98</v>
      </c>
      <c r="B133" s="90">
        <v>98</v>
      </c>
      <c r="C133" s="90">
        <v>15</v>
      </c>
      <c r="D133" s="90" t="s">
        <v>113</v>
      </c>
      <c r="E133" s="91" t="s">
        <v>156</v>
      </c>
      <c r="F133" s="90" t="s">
        <v>37</v>
      </c>
      <c r="G133" s="90" t="s">
        <v>8</v>
      </c>
      <c r="H133" s="90" t="s">
        <v>165</v>
      </c>
      <c r="I133" s="92" t="s">
        <v>253</v>
      </c>
      <c r="J133" s="93">
        <v>45411</v>
      </c>
      <c r="K133" s="92" t="s">
        <v>117</v>
      </c>
      <c r="L133" s="92">
        <v>481000036</v>
      </c>
      <c r="M133" s="93">
        <v>45412</v>
      </c>
      <c r="N133" s="94">
        <v>45411.96875</v>
      </c>
      <c r="O133" s="94">
        <v>45411.96875</v>
      </c>
      <c r="P133" s="94">
        <v>45411.972222222219</v>
      </c>
      <c r="Q133" s="94">
        <v>45412.177083333336</v>
      </c>
      <c r="R133" s="114" t="s">
        <v>118</v>
      </c>
      <c r="S133" s="114">
        <v>45412.243055555555</v>
      </c>
      <c r="T133" s="114">
        <v>45412.333333333336</v>
      </c>
      <c r="U133" s="114">
        <v>45412.451388888891</v>
      </c>
      <c r="V133" s="95">
        <f t="shared" si="50"/>
        <v>0.20833333333575865</v>
      </c>
      <c r="W133" s="95">
        <v>0.20833333333333334</v>
      </c>
      <c r="X133" s="95">
        <f t="shared" si="51"/>
        <v>2.4253099528692701E-12</v>
      </c>
      <c r="Y133" s="96">
        <v>0</v>
      </c>
      <c r="Z133" s="96">
        <v>58</v>
      </c>
      <c r="AA133" s="96">
        <f t="shared" si="42"/>
        <v>58</v>
      </c>
      <c r="AB133" s="97">
        <f t="shared" si="43"/>
        <v>0</v>
      </c>
      <c r="AC133" s="97">
        <f t="shared" si="44"/>
        <v>3996.1500000000005</v>
      </c>
      <c r="AD133" s="98">
        <v>3996.15</v>
      </c>
      <c r="AE133" s="98">
        <v>4021</v>
      </c>
      <c r="AF133" s="98">
        <v>4046</v>
      </c>
      <c r="AG133" s="98">
        <f t="shared" si="45"/>
        <v>49.849999999999909</v>
      </c>
      <c r="AH133" s="99">
        <v>1537.9</v>
      </c>
      <c r="AI133" s="100">
        <f t="shared" si="46"/>
        <v>6222343.4000000004</v>
      </c>
      <c r="AJ133" s="100">
        <f t="shared" si="59"/>
        <v>0</v>
      </c>
      <c r="AK133" s="100">
        <v>0</v>
      </c>
      <c r="AL133" s="100">
        <v>24140</v>
      </c>
      <c r="AM133" s="100">
        <v>0</v>
      </c>
      <c r="AN133" s="100">
        <v>0</v>
      </c>
      <c r="AO133" s="100">
        <v>0</v>
      </c>
      <c r="AP133" s="100">
        <f t="shared" si="60"/>
        <v>312325</v>
      </c>
      <c r="AQ133" s="101">
        <f t="shared" si="49"/>
        <v>6558809</v>
      </c>
      <c r="AR133" s="101">
        <v>0</v>
      </c>
      <c r="AS133" s="101">
        <v>0</v>
      </c>
      <c r="AT133" s="102" t="s">
        <v>33</v>
      </c>
      <c r="AU133" s="109">
        <v>20</v>
      </c>
      <c r="AV133" s="100">
        <v>27.5</v>
      </c>
      <c r="AW133" s="105"/>
      <c r="AX133" s="106">
        <f t="shared" si="52"/>
        <v>1.232081067721204</v>
      </c>
      <c r="AY133" s="101">
        <f t="shared" si="53"/>
        <v>76665</v>
      </c>
      <c r="AZ133" s="107"/>
      <c r="BA133" s="94">
        <v>45411.96875</v>
      </c>
      <c r="BB133" s="94">
        <v>45411.972222222219</v>
      </c>
      <c r="BC133" s="94">
        <v>45411.975694444445</v>
      </c>
      <c r="BD133" s="94">
        <v>45412.236111111109</v>
      </c>
      <c r="BE133" s="95">
        <f t="shared" si="54"/>
        <v>0.26736111110949423</v>
      </c>
      <c r="BF133" s="95">
        <v>3.472222222222222E-3</v>
      </c>
      <c r="BG133" s="95">
        <v>7.4999999999999997E-2</v>
      </c>
      <c r="BH133" s="95">
        <f t="shared" si="55"/>
        <v>3.4722222189884633E-3</v>
      </c>
      <c r="BI133" s="95">
        <f t="shared" si="55"/>
        <v>3.4722222262644209E-3</v>
      </c>
      <c r="BJ133" s="95">
        <f t="shared" si="55"/>
        <v>0.26041666666424135</v>
      </c>
      <c r="BK133" s="95">
        <f t="shared" si="56"/>
        <v>0.26388888889050577</v>
      </c>
      <c r="BL133" s="95">
        <f t="shared" si="57"/>
        <v>0.18541666666828355</v>
      </c>
      <c r="BM133" s="95">
        <f t="shared" si="58"/>
        <v>5.9027777776160889E-2</v>
      </c>
      <c r="BN133" s="110"/>
    </row>
    <row r="134" spans="1:66" s="8" customFormat="1" ht="12.75" customHeight="1" x14ac:dyDescent="0.25">
      <c r="A134" s="90">
        <v>99</v>
      </c>
      <c r="B134" s="90">
        <v>99</v>
      </c>
      <c r="C134" s="90">
        <v>9</v>
      </c>
      <c r="D134" s="90" t="s">
        <v>148</v>
      </c>
      <c r="E134" s="91" t="s">
        <v>235</v>
      </c>
      <c r="F134" s="90" t="s">
        <v>16</v>
      </c>
      <c r="G134" s="90" t="s">
        <v>17</v>
      </c>
      <c r="H134" s="90" t="s">
        <v>150</v>
      </c>
      <c r="I134" s="92" t="s">
        <v>254</v>
      </c>
      <c r="J134" s="93">
        <v>45411</v>
      </c>
      <c r="K134" s="92" t="s">
        <v>122</v>
      </c>
      <c r="L134" s="92">
        <v>461000215</v>
      </c>
      <c r="M134" s="93">
        <v>45412</v>
      </c>
      <c r="N134" s="94">
        <v>45412.166666666664</v>
      </c>
      <c r="O134" s="94">
        <v>45412.166666666664</v>
      </c>
      <c r="P134" s="94">
        <v>45412.170138888891</v>
      </c>
      <c r="Q134" s="94">
        <v>45412.375</v>
      </c>
      <c r="R134" s="114" t="s">
        <v>118</v>
      </c>
      <c r="S134" s="114">
        <v>45412.399305555555</v>
      </c>
      <c r="T134" s="114">
        <v>45412.427083333336</v>
      </c>
      <c r="U134" s="114">
        <v>45412.556250000001</v>
      </c>
      <c r="V134" s="95">
        <f t="shared" si="50"/>
        <v>0.20833333333575865</v>
      </c>
      <c r="W134" s="95">
        <v>0.20833333333333334</v>
      </c>
      <c r="X134" s="95">
        <f t="shared" si="51"/>
        <v>2.4253099528692701E-12</v>
      </c>
      <c r="Y134" s="96">
        <v>0</v>
      </c>
      <c r="Z134" s="96">
        <v>59</v>
      </c>
      <c r="AA134" s="96">
        <f t="shared" si="42"/>
        <v>59</v>
      </c>
      <c r="AB134" s="97">
        <f t="shared" si="43"/>
        <v>0</v>
      </c>
      <c r="AC134" s="97">
        <f t="shared" si="44"/>
        <v>4021.8999999999996</v>
      </c>
      <c r="AD134" s="98">
        <v>4021.9</v>
      </c>
      <c r="AE134" s="98">
        <v>4097.7</v>
      </c>
      <c r="AF134" s="98">
        <v>4101.3999999999996</v>
      </c>
      <c r="AG134" s="98">
        <f t="shared" si="45"/>
        <v>79.499999999999545</v>
      </c>
      <c r="AH134" s="99">
        <v>672.5</v>
      </c>
      <c r="AI134" s="100">
        <f t="shared" si="46"/>
        <v>2758191.4999999995</v>
      </c>
      <c r="AJ134" s="100">
        <f>(0.4*AH134)*2</f>
        <v>538</v>
      </c>
      <c r="AK134" s="100">
        <v>0</v>
      </c>
      <c r="AL134" s="100">
        <v>0</v>
      </c>
      <c r="AM134" s="100">
        <v>0</v>
      </c>
      <c r="AN134" s="100">
        <v>0</v>
      </c>
      <c r="AO134" s="100">
        <v>0</v>
      </c>
      <c r="AP134" s="100">
        <f t="shared" si="60"/>
        <v>137937</v>
      </c>
      <c r="AQ134" s="101">
        <f t="shared" si="49"/>
        <v>2896667</v>
      </c>
      <c r="AR134" s="101">
        <v>0</v>
      </c>
      <c r="AS134" s="101">
        <v>0</v>
      </c>
      <c r="AT134" s="102" t="s">
        <v>33</v>
      </c>
      <c r="AU134" s="109" t="s">
        <v>118</v>
      </c>
      <c r="AV134" s="100">
        <v>0</v>
      </c>
      <c r="AW134" s="105"/>
      <c r="AX134" s="106">
        <f t="shared" si="52"/>
        <v>1.9383625103623041</v>
      </c>
      <c r="AY134" s="101">
        <f t="shared" si="53"/>
        <v>53464</v>
      </c>
      <c r="AZ134" s="107"/>
      <c r="BA134" s="94">
        <v>45412.166666666664</v>
      </c>
      <c r="BB134" s="94">
        <v>45412.170138888891</v>
      </c>
      <c r="BC134" s="94">
        <v>45412.273611111108</v>
      </c>
      <c r="BD134" s="94">
        <v>45412.397916666669</v>
      </c>
      <c r="BE134" s="95">
        <f t="shared" si="54"/>
        <v>0.23125000000436557</v>
      </c>
      <c r="BF134" s="95">
        <v>3.1944444444444442E-2</v>
      </c>
      <c r="BG134" s="95">
        <v>7.2916666666666671E-2</v>
      </c>
      <c r="BH134" s="95">
        <f t="shared" si="55"/>
        <v>3.4722222262644209E-3</v>
      </c>
      <c r="BI134" s="95">
        <f t="shared" si="55"/>
        <v>0.10347222221753327</v>
      </c>
      <c r="BJ134" s="95">
        <f t="shared" si="55"/>
        <v>0.12430555556056788</v>
      </c>
      <c r="BK134" s="95">
        <f t="shared" si="56"/>
        <v>0.22777777777810115</v>
      </c>
      <c r="BL134" s="95">
        <f t="shared" si="57"/>
        <v>0.12291666666699004</v>
      </c>
      <c r="BM134" s="95">
        <f t="shared" si="58"/>
        <v>2.2916666671032232E-2</v>
      </c>
      <c r="BN134" s="110"/>
    </row>
    <row r="135" spans="1:66" s="8" customFormat="1" ht="12.75" customHeight="1" x14ac:dyDescent="0.25">
      <c r="A135" s="90">
        <v>100</v>
      </c>
      <c r="B135" s="90">
        <v>100</v>
      </c>
      <c r="C135" s="90">
        <v>6</v>
      </c>
      <c r="D135" s="90" t="s">
        <v>113</v>
      </c>
      <c r="E135" s="91" t="s">
        <v>140</v>
      </c>
      <c r="F135" s="90" t="s">
        <v>25</v>
      </c>
      <c r="G135" s="90" t="s">
        <v>12</v>
      </c>
      <c r="H135" s="90" t="s">
        <v>115</v>
      </c>
      <c r="I135" s="92" t="s">
        <v>255</v>
      </c>
      <c r="J135" s="93">
        <v>45412</v>
      </c>
      <c r="K135" s="92" t="s">
        <v>117</v>
      </c>
      <c r="L135" s="92">
        <v>282000898</v>
      </c>
      <c r="M135" s="93">
        <v>45412</v>
      </c>
      <c r="N135" s="94">
        <v>45412.458333333336</v>
      </c>
      <c r="O135" s="94">
        <v>45412.458333333336</v>
      </c>
      <c r="P135" s="94">
        <v>45412.493055555555</v>
      </c>
      <c r="Q135" s="94">
        <v>45412.666666666664</v>
      </c>
      <c r="R135" s="114">
        <v>45412.489583333336</v>
      </c>
      <c r="S135" s="114" t="s">
        <v>118</v>
      </c>
      <c r="T135" s="114">
        <v>45412.729166666664</v>
      </c>
      <c r="U135" s="114">
        <v>45412.833333333336</v>
      </c>
      <c r="V135" s="95">
        <f t="shared" si="50"/>
        <v>0.20833333332848269</v>
      </c>
      <c r="W135" s="95">
        <v>0.20833333333333334</v>
      </c>
      <c r="X135" s="95" t="str">
        <f t="shared" si="51"/>
        <v>00:00</v>
      </c>
      <c r="Y135" s="96">
        <v>0</v>
      </c>
      <c r="Z135" s="96">
        <v>59</v>
      </c>
      <c r="AA135" s="96">
        <f t="shared" si="42"/>
        <v>59</v>
      </c>
      <c r="AB135" s="97">
        <f t="shared" si="43"/>
        <v>0</v>
      </c>
      <c r="AC135" s="97">
        <f t="shared" si="44"/>
        <v>4068.3600000000006</v>
      </c>
      <c r="AD135" s="98">
        <v>4068.36</v>
      </c>
      <c r="AE135" s="98">
        <v>4112.1000000000004</v>
      </c>
      <c r="AF135" s="98">
        <v>4120.6000000000004</v>
      </c>
      <c r="AG135" s="98">
        <f t="shared" si="45"/>
        <v>52.240000000000236</v>
      </c>
      <c r="AH135" s="99">
        <v>1586.7</v>
      </c>
      <c r="AI135" s="100">
        <f t="shared" si="46"/>
        <v>6538156.0200000005</v>
      </c>
      <c r="AJ135" s="100">
        <f t="shared" ref="AJ135:AJ141" si="61">(0*AH135)*2</f>
        <v>0</v>
      </c>
      <c r="AK135" s="100">
        <v>0</v>
      </c>
      <c r="AL135" s="100">
        <v>24290</v>
      </c>
      <c r="AM135" s="100">
        <v>0</v>
      </c>
      <c r="AN135" s="100">
        <v>0</v>
      </c>
      <c r="AO135" s="100">
        <f>IFERROR(AF135*20+(((AJ135/AH135)/2)*20),0)</f>
        <v>82412</v>
      </c>
      <c r="AP135" s="100">
        <f t="shared" si="60"/>
        <v>332243</v>
      </c>
      <c r="AQ135" s="101">
        <f t="shared" si="49"/>
        <v>6977102</v>
      </c>
      <c r="AR135" s="101">
        <v>0</v>
      </c>
      <c r="AS135" s="101">
        <v>0</v>
      </c>
      <c r="AT135" s="102" t="s">
        <v>33</v>
      </c>
      <c r="AU135" s="109">
        <v>6</v>
      </c>
      <c r="AV135" s="100">
        <v>5.5</v>
      </c>
      <c r="AW135" s="105"/>
      <c r="AX135" s="106">
        <f t="shared" si="52"/>
        <v>1.2677765373974719</v>
      </c>
      <c r="AY135" s="101">
        <f t="shared" si="53"/>
        <v>82890</v>
      </c>
      <c r="AZ135" s="107"/>
      <c r="BA135" s="94">
        <v>45412.489583333336</v>
      </c>
      <c r="BB135" s="94">
        <v>45412.493055555555</v>
      </c>
      <c r="BC135" s="94">
        <v>45412.503472222219</v>
      </c>
      <c r="BD135" s="94">
        <v>45412.67291666667</v>
      </c>
      <c r="BE135" s="95">
        <f t="shared" si="54"/>
        <v>0.18333333333430346</v>
      </c>
      <c r="BF135" s="95">
        <v>0</v>
      </c>
      <c r="BG135" s="95">
        <v>4.6527777777777779E-2</v>
      </c>
      <c r="BH135" s="95">
        <f t="shared" si="55"/>
        <v>3.4722222189884633E-3</v>
      </c>
      <c r="BI135" s="95">
        <f t="shared" si="55"/>
        <v>1.0416666664241347E-2</v>
      </c>
      <c r="BJ135" s="95">
        <f t="shared" si="55"/>
        <v>0.16944444445107365</v>
      </c>
      <c r="BK135" s="95">
        <f t="shared" si="56"/>
        <v>0.179861111115315</v>
      </c>
      <c r="BL135" s="95">
        <f t="shared" si="57"/>
        <v>0.13333333333753722</v>
      </c>
      <c r="BM135" s="95" t="str">
        <f t="shared" si="58"/>
        <v>00:00</v>
      </c>
      <c r="BN135" s="110"/>
    </row>
    <row r="136" spans="1:66" s="8" customFormat="1" ht="12.75" customHeight="1" x14ac:dyDescent="0.25">
      <c r="A136" s="90">
        <v>101</v>
      </c>
      <c r="B136" s="90">
        <v>101</v>
      </c>
      <c r="C136" s="90">
        <v>10</v>
      </c>
      <c r="D136" s="90" t="s">
        <v>148</v>
      </c>
      <c r="E136" s="91" t="s">
        <v>235</v>
      </c>
      <c r="F136" s="90" t="s">
        <v>16</v>
      </c>
      <c r="G136" s="90" t="s">
        <v>17</v>
      </c>
      <c r="H136" s="90" t="s">
        <v>150</v>
      </c>
      <c r="I136" s="92" t="s">
        <v>256</v>
      </c>
      <c r="J136" s="93">
        <v>45411</v>
      </c>
      <c r="K136" s="92" t="s">
        <v>122</v>
      </c>
      <c r="L136" s="92">
        <v>461000216</v>
      </c>
      <c r="M136" s="93">
        <v>45413</v>
      </c>
      <c r="N136" s="94">
        <v>45412.625</v>
      </c>
      <c r="O136" s="94">
        <v>45412.625</v>
      </c>
      <c r="P136" s="94">
        <v>45412.628472222219</v>
      </c>
      <c r="Q136" s="94">
        <v>45412.833333333336</v>
      </c>
      <c r="R136" s="114" t="s">
        <v>118</v>
      </c>
      <c r="S136" s="114">
        <v>45412.875</v>
      </c>
      <c r="T136" s="114">
        <v>45412.90625</v>
      </c>
      <c r="U136" s="114">
        <v>45413.009027777778</v>
      </c>
      <c r="V136" s="95">
        <f t="shared" si="50"/>
        <v>0.20833333333575865</v>
      </c>
      <c r="W136" s="95">
        <v>0.20833333333333334</v>
      </c>
      <c r="X136" s="95">
        <f t="shared" si="51"/>
        <v>2.4253099528692701E-12</v>
      </c>
      <c r="Y136" s="96">
        <v>0</v>
      </c>
      <c r="Z136" s="96">
        <v>59</v>
      </c>
      <c r="AA136" s="96">
        <f t="shared" si="42"/>
        <v>59</v>
      </c>
      <c r="AB136" s="97">
        <f t="shared" si="43"/>
        <v>0</v>
      </c>
      <c r="AC136" s="97">
        <f t="shared" si="44"/>
        <v>4042.03</v>
      </c>
      <c r="AD136" s="98">
        <v>4042.03</v>
      </c>
      <c r="AE136" s="98">
        <v>4107.8</v>
      </c>
      <c r="AF136" s="98">
        <v>4111.8</v>
      </c>
      <c r="AG136" s="98">
        <f t="shared" si="45"/>
        <v>69.769999999999982</v>
      </c>
      <c r="AH136" s="99">
        <v>672.5</v>
      </c>
      <c r="AI136" s="100">
        <f t="shared" si="46"/>
        <v>2765185.5</v>
      </c>
      <c r="AJ136" s="100">
        <f t="shared" si="61"/>
        <v>0</v>
      </c>
      <c r="AK136" s="100">
        <v>0</v>
      </c>
      <c r="AL136" s="100">
        <v>0</v>
      </c>
      <c r="AM136" s="100">
        <v>0</v>
      </c>
      <c r="AN136" s="100">
        <v>0</v>
      </c>
      <c r="AO136" s="100">
        <v>0</v>
      </c>
      <c r="AP136" s="100">
        <f t="shared" si="60"/>
        <v>138260</v>
      </c>
      <c r="AQ136" s="101">
        <f t="shared" si="49"/>
        <v>2903446</v>
      </c>
      <c r="AR136" s="101">
        <v>0</v>
      </c>
      <c r="AS136" s="101">
        <v>0</v>
      </c>
      <c r="AT136" s="102" t="s">
        <v>33</v>
      </c>
      <c r="AU136" s="109" t="s">
        <v>118</v>
      </c>
      <c r="AV136" s="100">
        <v>0</v>
      </c>
      <c r="AW136" s="105"/>
      <c r="AX136" s="106">
        <f t="shared" si="52"/>
        <v>1.6968237754754603</v>
      </c>
      <c r="AY136" s="101">
        <f t="shared" si="53"/>
        <v>46921</v>
      </c>
      <c r="AZ136" s="107"/>
      <c r="BA136" s="94">
        <v>45412.625</v>
      </c>
      <c r="BB136" s="94">
        <v>45412.628472222219</v>
      </c>
      <c r="BC136" s="94">
        <v>45412.720833333333</v>
      </c>
      <c r="BD136" s="94">
        <v>45412.871527777781</v>
      </c>
      <c r="BE136" s="95">
        <f t="shared" si="54"/>
        <v>0.24652777778101154</v>
      </c>
      <c r="BF136" s="95">
        <v>4.0972222222222222E-2</v>
      </c>
      <c r="BG136" s="95">
        <v>8.0555555555555561E-2</v>
      </c>
      <c r="BH136" s="95">
        <f t="shared" si="55"/>
        <v>3.4722222189884633E-3</v>
      </c>
      <c r="BI136" s="95">
        <f t="shared" si="55"/>
        <v>9.2361111113859806E-2</v>
      </c>
      <c r="BJ136" s="95">
        <f t="shared" si="55"/>
        <v>0.15069444444816327</v>
      </c>
      <c r="BK136" s="95">
        <f t="shared" si="56"/>
        <v>0.24305555556202307</v>
      </c>
      <c r="BL136" s="95">
        <f t="shared" si="57"/>
        <v>0.1215277777842453</v>
      </c>
      <c r="BM136" s="95">
        <f t="shared" si="58"/>
        <v>3.8194444447678194E-2</v>
      </c>
      <c r="BN136" s="110"/>
    </row>
    <row r="137" spans="1:66" s="8" customFormat="1" ht="12.75" customHeight="1" x14ac:dyDescent="0.25">
      <c r="A137" s="90">
        <v>102</v>
      </c>
      <c r="B137" s="90">
        <v>102</v>
      </c>
      <c r="C137" s="90">
        <v>18</v>
      </c>
      <c r="D137" s="90" t="s">
        <v>113</v>
      </c>
      <c r="E137" s="91" t="s">
        <v>188</v>
      </c>
      <c r="F137" s="90" t="s">
        <v>29</v>
      </c>
      <c r="G137" s="90" t="s">
        <v>15</v>
      </c>
      <c r="H137" s="90" t="s">
        <v>124</v>
      </c>
      <c r="I137" s="92" t="s">
        <v>257</v>
      </c>
      <c r="J137" s="93"/>
      <c r="K137" s="92" t="s">
        <v>117</v>
      </c>
      <c r="L137" s="92">
        <v>261005720</v>
      </c>
      <c r="M137" s="93">
        <v>45413</v>
      </c>
      <c r="N137" s="94">
        <v>45412.895833333336</v>
      </c>
      <c r="O137" s="94">
        <v>45412.895833333336</v>
      </c>
      <c r="P137" s="94">
        <v>45412.899305555555</v>
      </c>
      <c r="Q137" s="94">
        <v>45413.104166666664</v>
      </c>
      <c r="R137" s="114" t="s">
        <v>118</v>
      </c>
      <c r="S137" s="114" t="s">
        <v>118</v>
      </c>
      <c r="T137" s="114">
        <v>45413.145833333336</v>
      </c>
      <c r="U137" s="114">
        <v>45413.222222222219</v>
      </c>
      <c r="V137" s="95">
        <f t="shared" si="50"/>
        <v>0.20833333332848269</v>
      </c>
      <c r="W137" s="95">
        <v>0.20833333333333334</v>
      </c>
      <c r="X137" s="95" t="str">
        <f t="shared" si="51"/>
        <v>00:00</v>
      </c>
      <c r="Y137" s="96">
        <v>0</v>
      </c>
      <c r="Z137" s="96">
        <v>58</v>
      </c>
      <c r="AA137" s="96">
        <f t="shared" si="42"/>
        <v>58</v>
      </c>
      <c r="AB137" s="97">
        <f t="shared" si="43"/>
        <v>0</v>
      </c>
      <c r="AC137" s="97">
        <f t="shared" si="44"/>
        <v>3893.5800000000004</v>
      </c>
      <c r="AD137" s="98">
        <v>3893.58</v>
      </c>
      <c r="AE137" s="98">
        <v>4028.4</v>
      </c>
      <c r="AF137" s="98">
        <v>4028.8</v>
      </c>
      <c r="AG137" s="98">
        <f t="shared" si="45"/>
        <v>135.22000000000025</v>
      </c>
      <c r="AH137" s="99">
        <v>797.2</v>
      </c>
      <c r="AI137" s="100">
        <f t="shared" si="46"/>
        <v>3211759.3600000003</v>
      </c>
      <c r="AJ137" s="100">
        <f t="shared" si="61"/>
        <v>0</v>
      </c>
      <c r="AK137" s="100">
        <v>0</v>
      </c>
      <c r="AL137" s="100">
        <v>0</v>
      </c>
      <c r="AM137" s="100">
        <v>0</v>
      </c>
      <c r="AN137" s="100">
        <v>0</v>
      </c>
      <c r="AO137" s="100">
        <v>0</v>
      </c>
      <c r="AP137" s="100">
        <f t="shared" si="60"/>
        <v>160588</v>
      </c>
      <c r="AQ137" s="101">
        <f t="shared" si="49"/>
        <v>3372348</v>
      </c>
      <c r="AR137" s="101">
        <v>0</v>
      </c>
      <c r="AS137" s="101">
        <v>0</v>
      </c>
      <c r="AT137" s="102" t="s">
        <v>33</v>
      </c>
      <c r="AU137" s="109" t="s">
        <v>118</v>
      </c>
      <c r="AV137" s="100">
        <v>0</v>
      </c>
      <c r="AW137" s="105"/>
      <c r="AX137" s="106">
        <f t="shared" si="52"/>
        <v>3.3563343923749067</v>
      </c>
      <c r="AY137" s="101">
        <f t="shared" si="53"/>
        <v>107798</v>
      </c>
      <c r="AZ137" s="107"/>
      <c r="BA137" s="94">
        <v>45412.895833333336</v>
      </c>
      <c r="BB137" s="94">
        <v>45412.899305555555</v>
      </c>
      <c r="BC137" s="94">
        <v>45412.904861111114</v>
      </c>
      <c r="BD137" s="94">
        <v>45413.047222222223</v>
      </c>
      <c r="BE137" s="95">
        <f t="shared" si="54"/>
        <v>0.15138888888759539</v>
      </c>
      <c r="BF137" s="95">
        <v>5.5555555555555558E-3</v>
      </c>
      <c r="BG137" s="95">
        <v>4.027777777777778E-2</v>
      </c>
      <c r="BH137" s="95">
        <f t="shared" si="55"/>
        <v>3.4722222189884633E-3</v>
      </c>
      <c r="BI137" s="95">
        <f t="shared" si="55"/>
        <v>5.5555555591126904E-3</v>
      </c>
      <c r="BJ137" s="95">
        <f t="shared" si="55"/>
        <v>0.14236111110949423</v>
      </c>
      <c r="BK137" s="95">
        <f t="shared" si="56"/>
        <v>0.14791666666860692</v>
      </c>
      <c r="BL137" s="95">
        <f t="shared" si="57"/>
        <v>0.10208333333527358</v>
      </c>
      <c r="BM137" s="95" t="str">
        <f t="shared" si="58"/>
        <v>00:00</v>
      </c>
      <c r="BN137" s="110"/>
    </row>
    <row r="138" spans="1:66" s="8" customFormat="1" ht="12.75" customHeight="1" x14ac:dyDescent="0.25">
      <c r="A138" s="90">
        <v>103</v>
      </c>
      <c r="B138" s="90">
        <v>1</v>
      </c>
      <c r="C138" s="90">
        <v>7</v>
      </c>
      <c r="D138" s="90" t="s">
        <v>113</v>
      </c>
      <c r="E138" s="91" t="s">
        <v>140</v>
      </c>
      <c r="F138" s="90" t="s">
        <v>25</v>
      </c>
      <c r="G138" s="90" t="s">
        <v>12</v>
      </c>
      <c r="H138" s="90" t="s">
        <v>115</v>
      </c>
      <c r="I138" s="92" t="s">
        <v>258</v>
      </c>
      <c r="J138" s="93">
        <v>45412</v>
      </c>
      <c r="K138" s="92" t="s">
        <v>122</v>
      </c>
      <c r="L138" s="92">
        <v>282000899</v>
      </c>
      <c r="M138" s="93">
        <v>45413</v>
      </c>
      <c r="N138" s="94">
        <v>45413.104166666664</v>
      </c>
      <c r="O138" s="94">
        <v>45413.104166666664</v>
      </c>
      <c r="P138" s="94">
        <v>45413.131944444445</v>
      </c>
      <c r="Q138" s="94">
        <v>45413.3125</v>
      </c>
      <c r="R138" s="114" t="s">
        <v>118</v>
      </c>
      <c r="S138" s="114">
        <v>45413.354166666664</v>
      </c>
      <c r="T138" s="114">
        <v>45413.375</v>
      </c>
      <c r="U138" s="114">
        <v>45413.472222222219</v>
      </c>
      <c r="V138" s="95">
        <f t="shared" si="50"/>
        <v>0.20833333333575865</v>
      </c>
      <c r="W138" s="95">
        <v>0.20833333333333334</v>
      </c>
      <c r="X138" s="95">
        <f t="shared" si="51"/>
        <v>2.4253099528692701E-12</v>
      </c>
      <c r="Y138" s="96">
        <v>0</v>
      </c>
      <c r="Z138" s="96">
        <v>56</v>
      </c>
      <c r="AA138" s="96">
        <f t="shared" si="42"/>
        <v>56</v>
      </c>
      <c r="AB138" s="97">
        <f t="shared" si="43"/>
        <v>0</v>
      </c>
      <c r="AC138" s="97">
        <f t="shared" si="44"/>
        <v>3854.8</v>
      </c>
      <c r="AD138" s="98">
        <v>3854.8</v>
      </c>
      <c r="AE138" s="98">
        <v>3897.6</v>
      </c>
      <c r="AF138" s="98">
        <v>3911.2</v>
      </c>
      <c r="AG138" s="98">
        <f t="shared" si="45"/>
        <v>56.399999999999636</v>
      </c>
      <c r="AH138" s="99">
        <v>1586.7</v>
      </c>
      <c r="AI138" s="100">
        <f t="shared" si="46"/>
        <v>6205901.04</v>
      </c>
      <c r="AJ138" s="100">
        <f t="shared" si="61"/>
        <v>0</v>
      </c>
      <c r="AK138" s="100">
        <v>0</v>
      </c>
      <c r="AL138" s="100">
        <v>23840</v>
      </c>
      <c r="AM138" s="100">
        <v>0</v>
      </c>
      <c r="AN138" s="100">
        <v>0</v>
      </c>
      <c r="AO138" s="100">
        <f>IFERROR(AF138*20+(((AJ138/AH138)/2)*20),0)</f>
        <v>78224</v>
      </c>
      <c r="AP138" s="100">
        <f t="shared" si="60"/>
        <v>315399</v>
      </c>
      <c r="AQ138" s="101">
        <f t="shared" si="49"/>
        <v>6623365</v>
      </c>
      <c r="AR138" s="101">
        <v>0</v>
      </c>
      <c r="AS138" s="101">
        <v>0</v>
      </c>
      <c r="AT138" s="102" t="s">
        <v>33</v>
      </c>
      <c r="AU138" s="109">
        <v>6</v>
      </c>
      <c r="AV138" s="100">
        <v>3.5</v>
      </c>
      <c r="AW138" s="105"/>
      <c r="AX138" s="106">
        <f t="shared" si="52"/>
        <v>1.4420126815299561</v>
      </c>
      <c r="AY138" s="101">
        <f t="shared" si="53"/>
        <v>89490</v>
      </c>
      <c r="AZ138" s="107"/>
      <c r="BA138" s="114">
        <v>45413.104166666664</v>
      </c>
      <c r="BB138" s="114">
        <v>45413.131944444445</v>
      </c>
      <c r="BC138" s="114">
        <v>45413.142361111109</v>
      </c>
      <c r="BD138" s="114">
        <v>45413.345833333333</v>
      </c>
      <c r="BE138" s="136">
        <f t="shared" si="54"/>
        <v>0.24166666666860692</v>
      </c>
      <c r="BF138" s="136">
        <v>0</v>
      </c>
      <c r="BG138" s="136">
        <v>7.9861111111111105E-2</v>
      </c>
      <c r="BH138" s="136">
        <f t="shared" si="55"/>
        <v>2.7777777781011537E-2</v>
      </c>
      <c r="BI138" s="95">
        <f t="shared" si="55"/>
        <v>1.0416666664241347E-2</v>
      </c>
      <c r="BJ138" s="136">
        <f t="shared" si="55"/>
        <v>0.20347222222335404</v>
      </c>
      <c r="BK138" s="95">
        <f t="shared" si="56"/>
        <v>0.21388888888759539</v>
      </c>
      <c r="BL138" s="136">
        <f t="shared" si="57"/>
        <v>0.13402777777648428</v>
      </c>
      <c r="BM138" s="136">
        <f t="shared" si="58"/>
        <v>3.3333333335273579E-2</v>
      </c>
      <c r="BN138" s="110"/>
    </row>
    <row r="139" spans="1:66" s="8" customFormat="1" ht="12.75" customHeight="1" x14ac:dyDescent="0.25">
      <c r="A139" s="90">
        <v>104</v>
      </c>
      <c r="B139" s="90">
        <v>2</v>
      </c>
      <c r="C139" s="90">
        <v>16</v>
      </c>
      <c r="D139" s="90" t="s">
        <v>113</v>
      </c>
      <c r="E139" s="91" t="s">
        <v>156</v>
      </c>
      <c r="F139" s="90" t="s">
        <v>37</v>
      </c>
      <c r="G139" s="90" t="s">
        <v>8</v>
      </c>
      <c r="H139" s="90" t="s">
        <v>165</v>
      </c>
      <c r="I139" s="92" t="s">
        <v>259</v>
      </c>
      <c r="J139" s="93">
        <v>45412</v>
      </c>
      <c r="K139" s="92" t="s">
        <v>117</v>
      </c>
      <c r="L139" s="92">
        <v>481000037</v>
      </c>
      <c r="M139" s="93">
        <v>45413</v>
      </c>
      <c r="N139" s="94">
        <v>45413.333333333336</v>
      </c>
      <c r="O139" s="94">
        <v>45413.333333333336</v>
      </c>
      <c r="P139" s="94">
        <v>45413.340277777781</v>
      </c>
      <c r="Q139" s="94">
        <v>45413.541666666664</v>
      </c>
      <c r="R139" s="114" t="s">
        <v>118</v>
      </c>
      <c r="S139" s="114">
        <v>45413.611111111109</v>
      </c>
      <c r="T139" s="114">
        <v>45413.625</v>
      </c>
      <c r="U139" s="114">
        <v>45413.715277777781</v>
      </c>
      <c r="V139" s="95">
        <f t="shared" si="50"/>
        <v>0.20833333332848269</v>
      </c>
      <c r="W139" s="95">
        <v>0.20833333333333334</v>
      </c>
      <c r="X139" s="95" t="str">
        <f t="shared" si="51"/>
        <v>00:00</v>
      </c>
      <c r="Y139" s="96">
        <v>0</v>
      </c>
      <c r="Z139" s="96">
        <v>57</v>
      </c>
      <c r="AA139" s="96">
        <f t="shared" si="42"/>
        <v>57</v>
      </c>
      <c r="AB139" s="97">
        <f t="shared" si="43"/>
        <v>0</v>
      </c>
      <c r="AC139" s="97">
        <f t="shared" si="44"/>
        <v>3907.4</v>
      </c>
      <c r="AD139" s="98">
        <v>3907.4</v>
      </c>
      <c r="AE139" s="98">
        <v>3945.4</v>
      </c>
      <c r="AF139" s="98">
        <v>3962.4</v>
      </c>
      <c r="AG139" s="98">
        <f t="shared" si="45"/>
        <v>55</v>
      </c>
      <c r="AH139" s="99">
        <v>1537.9</v>
      </c>
      <c r="AI139" s="100">
        <f t="shared" si="46"/>
        <v>6093774.9600000009</v>
      </c>
      <c r="AJ139" s="100">
        <f t="shared" si="61"/>
        <v>0</v>
      </c>
      <c r="AK139" s="100">
        <v>0</v>
      </c>
      <c r="AL139" s="100">
        <v>23990</v>
      </c>
      <c r="AM139" s="100">
        <v>0</v>
      </c>
      <c r="AN139" s="100">
        <v>0</v>
      </c>
      <c r="AO139" s="100">
        <v>0</v>
      </c>
      <c r="AP139" s="100">
        <f t="shared" si="60"/>
        <v>305889</v>
      </c>
      <c r="AQ139" s="101">
        <f t="shared" si="49"/>
        <v>6423654</v>
      </c>
      <c r="AR139" s="101">
        <v>0</v>
      </c>
      <c r="AS139" s="101">
        <v>0</v>
      </c>
      <c r="AT139" s="102" t="s">
        <v>33</v>
      </c>
      <c r="AU139" s="109">
        <v>14</v>
      </c>
      <c r="AV139" s="100">
        <v>18.5</v>
      </c>
      <c r="AW139" s="105"/>
      <c r="AX139" s="106">
        <f t="shared" si="52"/>
        <v>1.3880476478901675</v>
      </c>
      <c r="AY139" s="101">
        <f t="shared" si="53"/>
        <v>84585</v>
      </c>
      <c r="AZ139" s="107"/>
      <c r="BA139" s="94">
        <v>45413.333333333336</v>
      </c>
      <c r="BB139" s="94">
        <v>45413.340277777781</v>
      </c>
      <c r="BC139" s="94">
        <v>45413.39166666667</v>
      </c>
      <c r="BD139" s="94">
        <v>45413.607638888891</v>
      </c>
      <c r="BE139" s="95">
        <f t="shared" si="54"/>
        <v>0.27430555555474712</v>
      </c>
      <c r="BF139" s="95">
        <v>5.9722222222222225E-2</v>
      </c>
      <c r="BG139" s="95">
        <v>0.10902777777777778</v>
      </c>
      <c r="BH139" s="95">
        <f t="shared" si="55"/>
        <v>6.9444444452528842E-3</v>
      </c>
      <c r="BI139" s="95">
        <f t="shared" si="55"/>
        <v>5.1388888889050577E-2</v>
      </c>
      <c r="BJ139" s="95">
        <f t="shared" si="55"/>
        <v>0.21597222222044365</v>
      </c>
      <c r="BK139" s="95">
        <f t="shared" si="56"/>
        <v>0.26736111110949423</v>
      </c>
      <c r="BL139" s="95">
        <f t="shared" si="57"/>
        <v>9.8611111109494221E-2</v>
      </c>
      <c r="BM139" s="95">
        <f t="shared" si="58"/>
        <v>6.5972222221413773E-2</v>
      </c>
      <c r="BN139" s="110"/>
    </row>
    <row r="140" spans="1:66" s="8" customFormat="1" ht="12.75" customHeight="1" x14ac:dyDescent="0.25">
      <c r="A140" s="90">
        <v>105</v>
      </c>
      <c r="B140" s="90">
        <v>3</v>
      </c>
      <c r="C140" s="90">
        <v>11</v>
      </c>
      <c r="D140" s="90" t="s">
        <v>148</v>
      </c>
      <c r="E140" s="91" t="s">
        <v>235</v>
      </c>
      <c r="F140" s="90" t="s">
        <v>16</v>
      </c>
      <c r="G140" s="90" t="s">
        <v>17</v>
      </c>
      <c r="H140" s="90" t="s">
        <v>150</v>
      </c>
      <c r="I140" s="92" t="s">
        <v>260</v>
      </c>
      <c r="J140" s="93">
        <v>45412</v>
      </c>
      <c r="K140" s="92" t="s">
        <v>122</v>
      </c>
      <c r="L140" s="92">
        <v>461000217</v>
      </c>
      <c r="M140" s="93">
        <v>45414</v>
      </c>
      <c r="N140" s="94">
        <v>45413.5625</v>
      </c>
      <c r="O140" s="94">
        <v>45413.5625</v>
      </c>
      <c r="P140" s="94">
        <v>45413.565972222219</v>
      </c>
      <c r="Q140" s="94">
        <v>45413.770833333336</v>
      </c>
      <c r="R140" s="114" t="s">
        <v>118</v>
      </c>
      <c r="S140" s="114">
        <v>45413.822916666664</v>
      </c>
      <c r="T140" s="114">
        <v>45413.916666666664</v>
      </c>
      <c r="U140" s="114">
        <v>45414.010416666664</v>
      </c>
      <c r="V140" s="95">
        <f t="shared" si="50"/>
        <v>0.20833333333575865</v>
      </c>
      <c r="W140" s="95">
        <v>0.20833333333333334</v>
      </c>
      <c r="X140" s="95">
        <f t="shared" si="51"/>
        <v>2.4253099528692701E-12</v>
      </c>
      <c r="Y140" s="96">
        <v>0</v>
      </c>
      <c r="Z140" s="96">
        <v>57</v>
      </c>
      <c r="AA140" s="96">
        <f t="shared" si="42"/>
        <v>57</v>
      </c>
      <c r="AB140" s="97">
        <f t="shared" si="43"/>
        <v>0</v>
      </c>
      <c r="AC140" s="97">
        <f t="shared" si="44"/>
        <v>3889.38</v>
      </c>
      <c r="AD140" s="98">
        <v>3889.38</v>
      </c>
      <c r="AE140" s="98">
        <v>3957.8</v>
      </c>
      <c r="AF140" s="98">
        <v>3963</v>
      </c>
      <c r="AG140" s="98">
        <f t="shared" si="45"/>
        <v>73.619999999999891</v>
      </c>
      <c r="AH140" s="99">
        <v>672.5</v>
      </c>
      <c r="AI140" s="100">
        <f t="shared" si="46"/>
        <v>2665117.5</v>
      </c>
      <c r="AJ140" s="100">
        <f t="shared" si="61"/>
        <v>0</v>
      </c>
      <c r="AK140" s="100">
        <v>0</v>
      </c>
      <c r="AL140" s="100">
        <v>23990</v>
      </c>
      <c r="AM140" s="100">
        <v>0</v>
      </c>
      <c r="AN140" s="100">
        <v>0</v>
      </c>
      <c r="AO140" s="100">
        <v>0</v>
      </c>
      <c r="AP140" s="100">
        <f t="shared" si="60"/>
        <v>134456</v>
      </c>
      <c r="AQ140" s="101">
        <f t="shared" si="49"/>
        <v>2823564</v>
      </c>
      <c r="AR140" s="101">
        <v>0</v>
      </c>
      <c r="AS140" s="101">
        <v>0</v>
      </c>
      <c r="AT140" s="102" t="s">
        <v>33</v>
      </c>
      <c r="AU140" s="109">
        <v>2</v>
      </c>
      <c r="AV140" s="100">
        <v>3</v>
      </c>
      <c r="AW140" s="105"/>
      <c r="AX140" s="106">
        <f t="shared" si="52"/>
        <v>1.8576835730507164</v>
      </c>
      <c r="AY140" s="101">
        <f t="shared" si="53"/>
        <v>49510</v>
      </c>
      <c r="AZ140" s="107"/>
      <c r="BA140" s="94">
        <v>45413.5625</v>
      </c>
      <c r="BB140" s="94">
        <v>45413.565972222219</v>
      </c>
      <c r="BC140" s="94">
        <v>45413.662499999999</v>
      </c>
      <c r="BD140" s="94">
        <v>45413.819444444445</v>
      </c>
      <c r="BE140" s="95">
        <f t="shared" si="54"/>
        <v>0.25694444444525288</v>
      </c>
      <c r="BF140" s="95">
        <v>7.4999999999999997E-2</v>
      </c>
      <c r="BG140" s="95">
        <v>6.25E-2</v>
      </c>
      <c r="BH140" s="95">
        <f t="shared" si="55"/>
        <v>3.4722222189884633E-3</v>
      </c>
      <c r="BI140" s="95">
        <f t="shared" si="55"/>
        <v>9.6527777779556345E-2</v>
      </c>
      <c r="BJ140" s="95">
        <f t="shared" si="55"/>
        <v>0.15694444444670808</v>
      </c>
      <c r="BK140" s="95">
        <f t="shared" si="56"/>
        <v>0.25347222222626442</v>
      </c>
      <c r="BL140" s="95">
        <f t="shared" si="57"/>
        <v>0.11597222222626441</v>
      </c>
      <c r="BM140" s="95">
        <f t="shared" si="58"/>
        <v>4.8611111111919542E-2</v>
      </c>
      <c r="BN140" s="110"/>
    </row>
    <row r="141" spans="1:66" s="8" customFormat="1" ht="12.75" customHeight="1" x14ac:dyDescent="0.25">
      <c r="A141" s="90">
        <v>106</v>
      </c>
      <c r="B141" s="90">
        <v>4</v>
      </c>
      <c r="C141" s="90">
        <v>14</v>
      </c>
      <c r="D141" s="90" t="s">
        <v>113</v>
      </c>
      <c r="E141" s="91" t="s">
        <v>204</v>
      </c>
      <c r="F141" s="90" t="s">
        <v>32</v>
      </c>
      <c r="G141" s="90" t="s">
        <v>15</v>
      </c>
      <c r="H141" s="90" t="s">
        <v>201</v>
      </c>
      <c r="I141" s="92" t="s">
        <v>261</v>
      </c>
      <c r="J141" s="93">
        <v>45412</v>
      </c>
      <c r="K141" s="92" t="s">
        <v>117</v>
      </c>
      <c r="L141" s="92">
        <v>262009629</v>
      </c>
      <c r="M141" s="93">
        <v>45414</v>
      </c>
      <c r="N141" s="94">
        <v>45413.791666666664</v>
      </c>
      <c r="O141" s="94">
        <v>45413.791666666664</v>
      </c>
      <c r="P141" s="94">
        <v>45413.795138888891</v>
      </c>
      <c r="Q141" s="94">
        <v>45413.993055555555</v>
      </c>
      <c r="R141" s="114" t="s">
        <v>118</v>
      </c>
      <c r="S141" s="114">
        <v>45414.048611111109</v>
      </c>
      <c r="T141" s="114">
        <v>45414.083333333336</v>
      </c>
      <c r="U141" s="114">
        <v>45414.166666666664</v>
      </c>
      <c r="V141" s="95">
        <f t="shared" si="50"/>
        <v>0.20138888889050577</v>
      </c>
      <c r="W141" s="95">
        <v>0.20833333333333334</v>
      </c>
      <c r="X141" s="95" t="str">
        <f t="shared" si="51"/>
        <v>00:00</v>
      </c>
      <c r="Y141" s="96">
        <v>0</v>
      </c>
      <c r="Z141" s="96">
        <v>58</v>
      </c>
      <c r="AA141" s="96">
        <f t="shared" si="42"/>
        <v>58</v>
      </c>
      <c r="AB141" s="97">
        <f t="shared" si="43"/>
        <v>0</v>
      </c>
      <c r="AC141" s="97">
        <f t="shared" si="44"/>
        <v>4003.07</v>
      </c>
      <c r="AD141" s="98">
        <v>4003.07</v>
      </c>
      <c r="AE141" s="98">
        <v>4035.6</v>
      </c>
      <c r="AF141" s="98">
        <v>4047</v>
      </c>
      <c r="AG141" s="98">
        <f t="shared" si="45"/>
        <v>43.929999999999836</v>
      </c>
      <c r="AH141" s="99">
        <v>2230.6999999999998</v>
      </c>
      <c r="AI141" s="100">
        <f t="shared" si="46"/>
        <v>9027642.8999999985</v>
      </c>
      <c r="AJ141" s="100">
        <f t="shared" si="61"/>
        <v>0</v>
      </c>
      <c r="AK141" s="100">
        <v>0</v>
      </c>
      <c r="AL141" s="100">
        <v>24140</v>
      </c>
      <c r="AM141" s="100">
        <v>0</v>
      </c>
      <c r="AN141" s="100">
        <v>0</v>
      </c>
      <c r="AO141" s="100">
        <v>0</v>
      </c>
      <c r="AP141" s="100">
        <f t="shared" si="60"/>
        <v>452590</v>
      </c>
      <c r="AQ141" s="101">
        <f t="shared" si="49"/>
        <v>9504373</v>
      </c>
      <c r="AR141" s="101">
        <v>0</v>
      </c>
      <c r="AS141" s="101">
        <v>0</v>
      </c>
      <c r="AT141" s="102" t="s">
        <v>33</v>
      </c>
      <c r="AU141" s="109">
        <v>7</v>
      </c>
      <c r="AV141" s="100">
        <v>6.5</v>
      </c>
      <c r="AW141" s="105"/>
      <c r="AX141" s="106">
        <f t="shared" si="52"/>
        <v>1.0854954287126226</v>
      </c>
      <c r="AY141" s="101">
        <f t="shared" si="53"/>
        <v>97995</v>
      </c>
      <c r="AZ141" s="107"/>
      <c r="BA141" s="94">
        <v>45413.791666666664</v>
      </c>
      <c r="BB141" s="94">
        <v>45413.795138888891</v>
      </c>
      <c r="BC141" s="94">
        <v>45413.861111111109</v>
      </c>
      <c r="BD141" s="94">
        <v>45414.03125</v>
      </c>
      <c r="BE141" s="95">
        <f t="shared" si="54"/>
        <v>0.23958333333575865</v>
      </c>
      <c r="BF141" s="95">
        <v>1.6666666666666666E-2</v>
      </c>
      <c r="BG141" s="95">
        <v>0.11180555555555556</v>
      </c>
      <c r="BH141" s="95">
        <f t="shared" si="55"/>
        <v>3.4722222262644209E-3</v>
      </c>
      <c r="BI141" s="95">
        <f t="shared" si="55"/>
        <v>6.5972222218988463E-2</v>
      </c>
      <c r="BJ141" s="95">
        <f t="shared" si="55"/>
        <v>0.17013888889050577</v>
      </c>
      <c r="BK141" s="95">
        <f t="shared" si="56"/>
        <v>0.23611111110949423</v>
      </c>
      <c r="BL141" s="95">
        <f t="shared" si="57"/>
        <v>0.10763888888727201</v>
      </c>
      <c r="BM141" s="95">
        <f t="shared" si="58"/>
        <v>3.125000000242531E-2</v>
      </c>
      <c r="BN141" s="110"/>
    </row>
    <row r="142" spans="1:66" s="8" customFormat="1" ht="12.75" customHeight="1" x14ac:dyDescent="0.25">
      <c r="A142" s="90">
        <v>107</v>
      </c>
      <c r="B142" s="90">
        <v>5</v>
      </c>
      <c r="C142" s="90">
        <v>19</v>
      </c>
      <c r="D142" s="90" t="s">
        <v>113</v>
      </c>
      <c r="E142" s="91" t="s">
        <v>188</v>
      </c>
      <c r="F142" s="90" t="s">
        <v>29</v>
      </c>
      <c r="G142" s="90" t="s">
        <v>15</v>
      </c>
      <c r="H142" s="90" t="s">
        <v>124</v>
      </c>
      <c r="I142" s="92" t="s">
        <v>262</v>
      </c>
      <c r="J142" s="93"/>
      <c r="K142" s="92" t="s">
        <v>122</v>
      </c>
      <c r="L142" s="92">
        <v>461000218</v>
      </c>
      <c r="M142" s="93">
        <v>45414</v>
      </c>
      <c r="N142" s="94">
        <v>45414.083333333336</v>
      </c>
      <c r="O142" s="94">
        <v>45414.083333333336</v>
      </c>
      <c r="P142" s="94">
        <v>45414.09375</v>
      </c>
      <c r="Q142" s="94">
        <v>45414.291666666664</v>
      </c>
      <c r="R142" s="114" t="s">
        <v>118</v>
      </c>
      <c r="S142" s="114" t="s">
        <v>118</v>
      </c>
      <c r="T142" s="114">
        <v>45414.354166666664</v>
      </c>
      <c r="U142" s="114">
        <v>45414.421527777777</v>
      </c>
      <c r="V142" s="95">
        <f t="shared" si="50"/>
        <v>0.20833333332848269</v>
      </c>
      <c r="W142" s="95">
        <v>0.20833333333333334</v>
      </c>
      <c r="X142" s="95" t="str">
        <f t="shared" si="51"/>
        <v>00:00</v>
      </c>
      <c r="Y142" s="96">
        <v>0</v>
      </c>
      <c r="Z142" s="96">
        <v>58</v>
      </c>
      <c r="AA142" s="96">
        <f t="shared" si="42"/>
        <v>58</v>
      </c>
      <c r="AB142" s="97">
        <f t="shared" si="43"/>
        <v>0</v>
      </c>
      <c r="AC142" s="97">
        <f t="shared" si="44"/>
        <v>3896.18</v>
      </c>
      <c r="AD142" s="98">
        <v>3896.18</v>
      </c>
      <c r="AE142" s="98">
        <v>4027.8</v>
      </c>
      <c r="AF142" s="98">
        <v>4029.4</v>
      </c>
      <c r="AG142" s="98">
        <f t="shared" si="45"/>
        <v>133.22000000000025</v>
      </c>
      <c r="AH142" s="99">
        <v>797.2</v>
      </c>
      <c r="AI142" s="100">
        <f t="shared" si="46"/>
        <v>3212237.68</v>
      </c>
      <c r="AJ142" s="100">
        <f>(0.2*AH142)*2</f>
        <v>318.88000000000005</v>
      </c>
      <c r="AK142" s="100">
        <v>0</v>
      </c>
      <c r="AL142" s="100">
        <v>0</v>
      </c>
      <c r="AM142" s="100">
        <v>0</v>
      </c>
      <c r="AN142" s="100">
        <v>0</v>
      </c>
      <c r="AO142" s="100">
        <v>0</v>
      </c>
      <c r="AP142" s="100">
        <f t="shared" si="60"/>
        <v>160628</v>
      </c>
      <c r="AQ142" s="101">
        <f t="shared" si="49"/>
        <v>3373185</v>
      </c>
      <c r="AR142" s="101">
        <v>0</v>
      </c>
      <c r="AS142" s="101">
        <v>0</v>
      </c>
      <c r="AT142" s="102" t="s">
        <v>33</v>
      </c>
      <c r="AU142" s="109" t="s">
        <v>118</v>
      </c>
      <c r="AV142" s="100">
        <v>0</v>
      </c>
      <c r="AW142" s="105"/>
      <c r="AX142" s="106">
        <f t="shared" si="52"/>
        <v>3.306199434158938</v>
      </c>
      <c r="AY142" s="101">
        <f t="shared" si="53"/>
        <v>106203</v>
      </c>
      <c r="AZ142" s="107"/>
      <c r="BA142" s="94">
        <v>45414.083333333336</v>
      </c>
      <c r="BB142" s="94">
        <v>45414.09375</v>
      </c>
      <c r="BC142" s="94">
        <v>45414.118055555555</v>
      </c>
      <c r="BD142" s="94">
        <v>45414.293055555558</v>
      </c>
      <c r="BE142" s="95">
        <f t="shared" si="54"/>
        <v>0.20972222222189885</v>
      </c>
      <c r="BF142" s="95">
        <v>3.472222222222222E-3</v>
      </c>
      <c r="BG142" s="95">
        <v>8.8888888888888892E-2</v>
      </c>
      <c r="BH142" s="95">
        <f t="shared" si="55"/>
        <v>1.0416666664241347E-2</v>
      </c>
      <c r="BI142" s="95">
        <f t="shared" si="55"/>
        <v>2.4305555554747116E-2</v>
      </c>
      <c r="BJ142" s="95">
        <f t="shared" si="55"/>
        <v>0.17500000000291038</v>
      </c>
      <c r="BK142" s="95">
        <f t="shared" si="56"/>
        <v>0.1993055555576575</v>
      </c>
      <c r="BL142" s="95">
        <f t="shared" si="57"/>
        <v>0.1069444444465464</v>
      </c>
      <c r="BM142" s="95">
        <f t="shared" si="58"/>
        <v>1.3888888885655037E-3</v>
      </c>
      <c r="BN142" s="110"/>
    </row>
    <row r="143" spans="1:66" s="8" customFormat="1" ht="12.75" customHeight="1" x14ac:dyDescent="0.25">
      <c r="A143" s="90">
        <v>108</v>
      </c>
      <c r="B143" s="90">
        <v>6</v>
      </c>
      <c r="C143" s="90">
        <v>15</v>
      </c>
      <c r="D143" s="90" t="s">
        <v>113</v>
      </c>
      <c r="E143" s="91" t="s">
        <v>204</v>
      </c>
      <c r="F143" s="90" t="s">
        <v>32</v>
      </c>
      <c r="G143" s="90" t="s">
        <v>15</v>
      </c>
      <c r="H143" s="90" t="s">
        <v>120</v>
      </c>
      <c r="I143" s="92" t="s">
        <v>263</v>
      </c>
      <c r="J143" s="93">
        <v>45413</v>
      </c>
      <c r="K143" s="92" t="s">
        <v>117</v>
      </c>
      <c r="L143" s="92">
        <v>261005721</v>
      </c>
      <c r="M143" s="93">
        <v>45414</v>
      </c>
      <c r="N143" s="94">
        <v>45414.458333333336</v>
      </c>
      <c r="O143" s="94">
        <v>45414.458333333336</v>
      </c>
      <c r="P143" s="94">
        <v>45414.482638888891</v>
      </c>
      <c r="Q143" s="94">
        <v>45414.666666666664</v>
      </c>
      <c r="R143" s="114">
        <v>45414.475694444445</v>
      </c>
      <c r="S143" s="114" t="s">
        <v>118</v>
      </c>
      <c r="T143" s="114">
        <v>45414.6875</v>
      </c>
      <c r="U143" s="114">
        <v>45414.784722222219</v>
      </c>
      <c r="V143" s="95">
        <f t="shared" si="50"/>
        <v>0.20833333332848269</v>
      </c>
      <c r="W143" s="95">
        <v>0.20833333333333334</v>
      </c>
      <c r="X143" s="95" t="str">
        <f t="shared" si="51"/>
        <v>00:00</v>
      </c>
      <c r="Y143" s="96">
        <v>2</v>
      </c>
      <c r="Z143" s="96">
        <v>56</v>
      </c>
      <c r="AA143" s="96">
        <f t="shared" si="42"/>
        <v>58</v>
      </c>
      <c r="AB143" s="97">
        <f t="shared" si="43"/>
        <v>138.87206896551723</v>
      </c>
      <c r="AC143" s="97">
        <f t="shared" si="44"/>
        <v>3888.4179310344825</v>
      </c>
      <c r="AD143" s="98">
        <v>4027.29</v>
      </c>
      <c r="AE143" s="98">
        <v>4043.6</v>
      </c>
      <c r="AF143" s="98">
        <v>4060.2</v>
      </c>
      <c r="AG143" s="98">
        <f t="shared" si="45"/>
        <v>32.909999999999854</v>
      </c>
      <c r="AH143" s="99">
        <v>1398.7</v>
      </c>
      <c r="AI143" s="100">
        <f t="shared" si="46"/>
        <v>5679001.7400000002</v>
      </c>
      <c r="AJ143" s="100">
        <f>(0*AH143)*2</f>
        <v>0</v>
      </c>
      <c r="AK143" s="100">
        <v>0</v>
      </c>
      <c r="AL143" s="100">
        <v>24140</v>
      </c>
      <c r="AM143" s="100">
        <v>0</v>
      </c>
      <c r="AN143" s="100">
        <v>0</v>
      </c>
      <c r="AO143" s="100">
        <v>0</v>
      </c>
      <c r="AP143" s="100">
        <f t="shared" si="60"/>
        <v>285158</v>
      </c>
      <c r="AQ143" s="101">
        <f t="shared" si="49"/>
        <v>5988300</v>
      </c>
      <c r="AR143" s="101">
        <v>0</v>
      </c>
      <c r="AS143" s="101">
        <v>0</v>
      </c>
      <c r="AT143" s="102" t="s">
        <v>33</v>
      </c>
      <c r="AU143" s="109">
        <v>7</v>
      </c>
      <c r="AV143" s="100">
        <v>10</v>
      </c>
      <c r="AW143" s="105"/>
      <c r="AX143" s="106">
        <f t="shared" si="52"/>
        <v>0.81055120437416517</v>
      </c>
      <c r="AY143" s="101">
        <f t="shared" si="53"/>
        <v>46032</v>
      </c>
      <c r="AZ143" s="107"/>
      <c r="BA143" s="94">
        <v>45414.475694444445</v>
      </c>
      <c r="BB143" s="94">
        <v>45414.482638888891</v>
      </c>
      <c r="BC143" s="94">
        <v>45414.497916666667</v>
      </c>
      <c r="BD143" s="94">
        <v>45414.658333333333</v>
      </c>
      <c r="BE143" s="95">
        <f t="shared" si="54"/>
        <v>0.18263888888759539</v>
      </c>
      <c r="BF143" s="95">
        <v>2.0833333333333332E-2</v>
      </c>
      <c r="BG143" s="95">
        <v>5.2083333333333336E-2</v>
      </c>
      <c r="BH143" s="95">
        <f t="shared" si="55"/>
        <v>6.9444444452528842E-3</v>
      </c>
      <c r="BI143" s="95">
        <f t="shared" si="55"/>
        <v>1.5277777776645962E-2</v>
      </c>
      <c r="BJ143" s="95">
        <f t="shared" si="55"/>
        <v>0.16041666666569654</v>
      </c>
      <c r="BK143" s="95">
        <f t="shared" si="56"/>
        <v>0.1756944444423425</v>
      </c>
      <c r="BL143" s="95">
        <f t="shared" si="57"/>
        <v>0.10277777777567582</v>
      </c>
      <c r="BM143" s="95" t="str">
        <f t="shared" si="58"/>
        <v>00:00</v>
      </c>
      <c r="BN143" s="110"/>
    </row>
    <row r="144" spans="1:66" s="8" customFormat="1" ht="12.75" customHeight="1" x14ac:dyDescent="0.25">
      <c r="A144" s="90">
        <v>109</v>
      </c>
      <c r="B144" s="90">
        <v>7</v>
      </c>
      <c r="C144" s="90">
        <v>8</v>
      </c>
      <c r="D144" s="90" t="s">
        <v>113</v>
      </c>
      <c r="E144" s="91" t="s">
        <v>140</v>
      </c>
      <c r="F144" s="90" t="s">
        <v>25</v>
      </c>
      <c r="G144" s="90" t="s">
        <v>12</v>
      </c>
      <c r="H144" s="90" t="s">
        <v>115</v>
      </c>
      <c r="I144" s="92" t="s">
        <v>264</v>
      </c>
      <c r="J144" s="93">
        <v>45414</v>
      </c>
      <c r="K144" s="92" t="s">
        <v>122</v>
      </c>
      <c r="L144" s="92">
        <v>282000900</v>
      </c>
      <c r="M144" s="93">
        <v>45415</v>
      </c>
      <c r="N144" s="94">
        <v>45414.614583333336</v>
      </c>
      <c r="O144" s="94">
        <v>45414.614583333336</v>
      </c>
      <c r="P144" s="94">
        <v>45414.618055555555</v>
      </c>
      <c r="Q144" s="94">
        <v>45414.822916666664</v>
      </c>
      <c r="R144" s="114" t="s">
        <v>118</v>
      </c>
      <c r="S144" s="114">
        <v>45414.854166666664</v>
      </c>
      <c r="T144" s="114">
        <v>45414.885416666664</v>
      </c>
      <c r="U144" s="114">
        <v>45414.96597222222</v>
      </c>
      <c r="V144" s="95">
        <f t="shared" si="50"/>
        <v>0.20833333332848269</v>
      </c>
      <c r="W144" s="95">
        <v>0.20833333333333334</v>
      </c>
      <c r="X144" s="95" t="str">
        <f t="shared" si="51"/>
        <v>00:00</v>
      </c>
      <c r="Y144" s="96">
        <v>0</v>
      </c>
      <c r="Z144" s="96">
        <v>57</v>
      </c>
      <c r="AA144" s="96">
        <f t="shared" si="42"/>
        <v>57</v>
      </c>
      <c r="AB144" s="97">
        <f t="shared" si="43"/>
        <v>0</v>
      </c>
      <c r="AC144" s="97">
        <f t="shared" si="44"/>
        <v>3823.83</v>
      </c>
      <c r="AD144" s="98">
        <v>3823.83</v>
      </c>
      <c r="AE144" s="98">
        <v>3943.2</v>
      </c>
      <c r="AF144" s="98">
        <v>3946.2</v>
      </c>
      <c r="AG144" s="98">
        <f t="shared" si="45"/>
        <v>122.36999999999989</v>
      </c>
      <c r="AH144" s="99">
        <v>1586.7</v>
      </c>
      <c r="AI144" s="100">
        <f t="shared" si="46"/>
        <v>6261435.54</v>
      </c>
      <c r="AJ144" s="100">
        <f>(0*AH144)*2</f>
        <v>0</v>
      </c>
      <c r="AK144" s="100">
        <v>0</v>
      </c>
      <c r="AL144" s="100">
        <v>0</v>
      </c>
      <c r="AM144" s="100">
        <v>0</v>
      </c>
      <c r="AN144" s="100">
        <v>0</v>
      </c>
      <c r="AO144" s="100">
        <f>IFERROR(AF144*20+(((AJ144/AH144)/2)*20),0)</f>
        <v>78924</v>
      </c>
      <c r="AP144" s="100">
        <f t="shared" si="60"/>
        <v>317018</v>
      </c>
      <c r="AQ144" s="101">
        <f t="shared" si="49"/>
        <v>6657378</v>
      </c>
      <c r="AR144" s="101">
        <v>0</v>
      </c>
      <c r="AS144" s="101">
        <v>0</v>
      </c>
      <c r="AT144" s="102" t="s">
        <v>33</v>
      </c>
      <c r="AU144" s="109" t="s">
        <v>118</v>
      </c>
      <c r="AV144" s="100">
        <v>0</v>
      </c>
      <c r="AW144" s="105"/>
      <c r="AX144" s="106">
        <f t="shared" si="52"/>
        <v>3.1009578835335234</v>
      </c>
      <c r="AY144" s="101">
        <f t="shared" si="53"/>
        <v>194165</v>
      </c>
      <c r="AZ144" s="107"/>
      <c r="BA144" s="94">
        <v>45414.614583333336</v>
      </c>
      <c r="BB144" s="94">
        <v>45414.618055555555</v>
      </c>
      <c r="BC144" s="94">
        <v>45414.715277777781</v>
      </c>
      <c r="BD144" s="94">
        <v>45414.847222222219</v>
      </c>
      <c r="BE144" s="95">
        <f t="shared" si="54"/>
        <v>0.23263888888322981</v>
      </c>
      <c r="BF144" s="95">
        <v>4.1666666666666664E-2</v>
      </c>
      <c r="BG144" s="95">
        <v>5.6944444444444443E-2</v>
      </c>
      <c r="BH144" s="95">
        <f t="shared" si="55"/>
        <v>3.4722222189884633E-3</v>
      </c>
      <c r="BI144" s="95">
        <f t="shared" si="55"/>
        <v>9.7222222226264421E-2</v>
      </c>
      <c r="BJ144" s="95">
        <f t="shared" si="55"/>
        <v>0.13194444443797693</v>
      </c>
      <c r="BK144" s="95">
        <f t="shared" si="56"/>
        <v>0.22916666666424135</v>
      </c>
      <c r="BL144" s="95">
        <f t="shared" si="57"/>
        <v>0.13055555555313025</v>
      </c>
      <c r="BM144" s="95">
        <f t="shared" si="58"/>
        <v>2.4305555549896468E-2</v>
      </c>
      <c r="BN144" s="110"/>
    </row>
    <row r="145" spans="1:66" s="8" customFormat="1" ht="12.75" customHeight="1" x14ac:dyDescent="0.25">
      <c r="A145" s="90">
        <v>110</v>
      </c>
      <c r="B145" s="90">
        <v>8</v>
      </c>
      <c r="C145" s="90">
        <v>17</v>
      </c>
      <c r="D145" s="90" t="s">
        <v>113</v>
      </c>
      <c r="E145" s="91" t="s">
        <v>156</v>
      </c>
      <c r="F145" s="90" t="s">
        <v>37</v>
      </c>
      <c r="G145" s="90" t="s">
        <v>8</v>
      </c>
      <c r="H145" s="90" t="s">
        <v>165</v>
      </c>
      <c r="I145" s="92" t="s">
        <v>265</v>
      </c>
      <c r="J145" s="93">
        <v>45413</v>
      </c>
      <c r="K145" s="92" t="s">
        <v>117</v>
      </c>
      <c r="L145" s="92">
        <v>481000038</v>
      </c>
      <c r="M145" s="93">
        <v>45415</v>
      </c>
      <c r="N145" s="94">
        <v>45414.822916666664</v>
      </c>
      <c r="O145" s="94">
        <v>45414.822916666664</v>
      </c>
      <c r="P145" s="94">
        <v>45414.847222222219</v>
      </c>
      <c r="Q145" s="94">
        <v>45414.989583333336</v>
      </c>
      <c r="R145" s="114">
        <v>45414.84375</v>
      </c>
      <c r="S145" s="114">
        <v>45415.09375</v>
      </c>
      <c r="T145" s="114">
        <v>45415.125</v>
      </c>
      <c r="U145" s="114">
        <v>45415.236111111109</v>
      </c>
      <c r="V145" s="95">
        <f t="shared" si="50"/>
        <v>0.16666666667151731</v>
      </c>
      <c r="W145" s="95">
        <v>0.20833333333333334</v>
      </c>
      <c r="X145" s="95" t="str">
        <f t="shared" si="51"/>
        <v>00:00</v>
      </c>
      <c r="Y145" s="96">
        <v>0</v>
      </c>
      <c r="Z145" s="96">
        <v>58</v>
      </c>
      <c r="AA145" s="96">
        <f t="shared" si="42"/>
        <v>58</v>
      </c>
      <c r="AB145" s="97">
        <f t="shared" si="43"/>
        <v>0</v>
      </c>
      <c r="AC145" s="97">
        <f t="shared" si="44"/>
        <v>3958.5</v>
      </c>
      <c r="AD145" s="98">
        <v>3958.5</v>
      </c>
      <c r="AE145" s="98">
        <v>4028.1</v>
      </c>
      <c r="AF145" s="98">
        <v>4034</v>
      </c>
      <c r="AG145" s="98">
        <f t="shared" si="45"/>
        <v>75.5</v>
      </c>
      <c r="AH145" s="99">
        <v>1537.9</v>
      </c>
      <c r="AI145" s="100">
        <f t="shared" si="46"/>
        <v>6203888.6000000006</v>
      </c>
      <c r="AJ145" s="100">
        <f>(0*AH145)*2</f>
        <v>0</v>
      </c>
      <c r="AK145" s="100">
        <v>0</v>
      </c>
      <c r="AL145" s="100">
        <v>24140</v>
      </c>
      <c r="AM145" s="100">
        <v>0</v>
      </c>
      <c r="AN145" s="100">
        <v>0</v>
      </c>
      <c r="AO145" s="100">
        <v>0</v>
      </c>
      <c r="AP145" s="100">
        <f t="shared" si="60"/>
        <v>311402</v>
      </c>
      <c r="AQ145" s="101">
        <f t="shared" si="49"/>
        <v>6539431</v>
      </c>
      <c r="AR145" s="101">
        <v>0</v>
      </c>
      <c r="AS145" s="101">
        <v>0</v>
      </c>
      <c r="AT145" s="102" t="s">
        <v>33</v>
      </c>
      <c r="AU145" s="109">
        <v>4</v>
      </c>
      <c r="AV145" s="100">
        <v>3</v>
      </c>
      <c r="AW145" s="105"/>
      <c r="AX145" s="106">
        <f t="shared" si="52"/>
        <v>1.8715914724838869</v>
      </c>
      <c r="AY145" s="101">
        <f t="shared" si="53"/>
        <v>116112</v>
      </c>
      <c r="AZ145" s="107"/>
      <c r="BA145" s="94">
        <v>45414.84375</v>
      </c>
      <c r="BB145" s="94">
        <v>45414.847222222219</v>
      </c>
      <c r="BC145" s="94">
        <v>45414.895833333336</v>
      </c>
      <c r="BD145" s="94">
        <v>45415.1</v>
      </c>
      <c r="BE145" s="95">
        <f t="shared" si="54"/>
        <v>0.25624999999854481</v>
      </c>
      <c r="BF145" s="95">
        <v>3.3333333327997705E-2</v>
      </c>
      <c r="BG145" s="95">
        <v>4.2361111111111086E-2</v>
      </c>
      <c r="BH145" s="95">
        <f t="shared" si="55"/>
        <v>3.4722222189884633E-3</v>
      </c>
      <c r="BI145" s="95">
        <f t="shared" si="55"/>
        <v>4.8611111116770189E-2</v>
      </c>
      <c r="BJ145" s="95">
        <f t="shared" si="55"/>
        <v>0.20416666666278616</v>
      </c>
      <c r="BK145" s="95">
        <f t="shared" si="56"/>
        <v>0.25277777777955635</v>
      </c>
      <c r="BL145" s="95">
        <f t="shared" si="57"/>
        <v>0.17708333334044757</v>
      </c>
      <c r="BM145" s="95">
        <f t="shared" si="58"/>
        <v>4.7916666665211466E-2</v>
      </c>
      <c r="BN145" s="110"/>
    </row>
    <row r="146" spans="1:66" s="8" customFormat="1" ht="12.75" customHeight="1" x14ac:dyDescent="0.25">
      <c r="A146" s="90">
        <v>111</v>
      </c>
      <c r="B146" s="90">
        <v>9</v>
      </c>
      <c r="C146" s="90">
        <v>12</v>
      </c>
      <c r="D146" s="90" t="s">
        <v>148</v>
      </c>
      <c r="E146" s="91" t="s">
        <v>235</v>
      </c>
      <c r="F146" s="90" t="s">
        <v>16</v>
      </c>
      <c r="G146" s="90" t="s">
        <v>17</v>
      </c>
      <c r="H146" s="90" t="s">
        <v>150</v>
      </c>
      <c r="I146" s="92" t="s">
        <v>266</v>
      </c>
      <c r="J146" s="93">
        <v>45413</v>
      </c>
      <c r="K146" s="92" t="s">
        <v>122</v>
      </c>
      <c r="L146" s="92">
        <v>461000219</v>
      </c>
      <c r="M146" s="93">
        <v>45415</v>
      </c>
      <c r="N146" s="94">
        <v>45415.229166666664</v>
      </c>
      <c r="O146" s="94">
        <v>45415.229166666664</v>
      </c>
      <c r="P146" s="94">
        <v>45415.232638888891</v>
      </c>
      <c r="Q146" s="94">
        <v>45415.427083333336</v>
      </c>
      <c r="R146" s="114" t="s">
        <v>118</v>
      </c>
      <c r="S146" s="114" t="s">
        <v>118</v>
      </c>
      <c r="T146" s="114">
        <v>45415.479166666664</v>
      </c>
      <c r="U146" s="114">
        <v>45415.638888888891</v>
      </c>
      <c r="V146" s="95">
        <f t="shared" si="50"/>
        <v>0.19791666667151731</v>
      </c>
      <c r="W146" s="95">
        <v>0.20833333333333334</v>
      </c>
      <c r="X146" s="95" t="str">
        <f t="shared" si="51"/>
        <v>00:00</v>
      </c>
      <c r="Y146" s="96">
        <v>0</v>
      </c>
      <c r="Z146" s="96">
        <v>58</v>
      </c>
      <c r="AA146" s="96">
        <f t="shared" si="42"/>
        <v>58</v>
      </c>
      <c r="AB146" s="97">
        <f t="shared" si="43"/>
        <v>0</v>
      </c>
      <c r="AC146" s="97">
        <f t="shared" si="44"/>
        <v>4000.8999999999996</v>
      </c>
      <c r="AD146" s="98">
        <v>4000.9</v>
      </c>
      <c r="AE146" s="98">
        <v>4060</v>
      </c>
      <c r="AF146" s="98">
        <v>4070.8</v>
      </c>
      <c r="AG146" s="98">
        <f t="shared" si="45"/>
        <v>69.900000000000091</v>
      </c>
      <c r="AH146" s="99">
        <v>672.5</v>
      </c>
      <c r="AI146" s="100">
        <f t="shared" si="46"/>
        <v>2737613</v>
      </c>
      <c r="AJ146" s="100">
        <f>(0*AH146)*2</f>
        <v>0</v>
      </c>
      <c r="AK146" s="100">
        <v>0</v>
      </c>
      <c r="AL146" s="100">
        <v>24140</v>
      </c>
      <c r="AM146" s="100">
        <v>0</v>
      </c>
      <c r="AN146" s="100">
        <v>0</v>
      </c>
      <c r="AO146" s="100">
        <v>0</v>
      </c>
      <c r="AP146" s="100">
        <f t="shared" si="60"/>
        <v>138088</v>
      </c>
      <c r="AQ146" s="101">
        <f t="shared" si="49"/>
        <v>2899841</v>
      </c>
      <c r="AR146" s="101">
        <v>0</v>
      </c>
      <c r="AS146" s="101">
        <v>0</v>
      </c>
      <c r="AT146" s="102" t="s">
        <v>34</v>
      </c>
      <c r="AU146" s="109">
        <v>8</v>
      </c>
      <c r="AV146" s="100">
        <v>5.5</v>
      </c>
      <c r="AW146" s="105"/>
      <c r="AX146" s="106">
        <f t="shared" si="52"/>
        <v>1.7171072025154783</v>
      </c>
      <c r="AY146" s="101">
        <f t="shared" si="53"/>
        <v>47008</v>
      </c>
      <c r="AZ146" s="107"/>
      <c r="BA146" s="94">
        <v>45415.229166666664</v>
      </c>
      <c r="BB146" s="94">
        <v>45415.232638888891</v>
      </c>
      <c r="BC146" s="94">
        <v>45415.232638888891</v>
      </c>
      <c r="BD146" s="94">
        <v>45415.409722222219</v>
      </c>
      <c r="BE146" s="95">
        <f t="shared" si="54"/>
        <v>0.18055555555474712</v>
      </c>
      <c r="BF146" s="95">
        <v>0</v>
      </c>
      <c r="BG146" s="95">
        <v>4.4444444444444446E-2</v>
      </c>
      <c r="BH146" s="95">
        <f t="shared" si="55"/>
        <v>3.4722222262644209E-3</v>
      </c>
      <c r="BI146" s="95">
        <f t="shared" si="55"/>
        <v>0</v>
      </c>
      <c r="BJ146" s="95">
        <f t="shared" si="55"/>
        <v>0.17708333332848269</v>
      </c>
      <c r="BK146" s="95">
        <f t="shared" si="56"/>
        <v>0.17708333332848269</v>
      </c>
      <c r="BL146" s="95">
        <f t="shared" si="57"/>
        <v>0.13263888888403824</v>
      </c>
      <c r="BM146" s="95" t="str">
        <f t="shared" si="58"/>
        <v>00:00</v>
      </c>
      <c r="BN146" s="110"/>
    </row>
    <row r="147" spans="1:66" s="8" customFormat="1" ht="12.75" customHeight="1" x14ac:dyDescent="0.25">
      <c r="A147" s="90">
        <v>112</v>
      </c>
      <c r="B147" s="90">
        <v>10</v>
      </c>
      <c r="C147" s="90">
        <v>17</v>
      </c>
      <c r="D147" s="90" t="s">
        <v>113</v>
      </c>
      <c r="E147" s="91" t="s">
        <v>204</v>
      </c>
      <c r="F147" s="90" t="s">
        <v>32</v>
      </c>
      <c r="G147" s="90" t="s">
        <v>15</v>
      </c>
      <c r="H147" s="90" t="s">
        <v>146</v>
      </c>
      <c r="I147" s="92" t="s">
        <v>267</v>
      </c>
      <c r="J147" s="93">
        <v>45414</v>
      </c>
      <c r="K147" s="92" t="s">
        <v>117</v>
      </c>
      <c r="L147" s="92">
        <v>241000394</v>
      </c>
      <c r="M147" s="93">
        <v>45415</v>
      </c>
      <c r="N147" s="94">
        <v>45415.427083333336</v>
      </c>
      <c r="O147" s="94">
        <v>45415.427083333336</v>
      </c>
      <c r="P147" s="94">
        <v>45415.451388888891</v>
      </c>
      <c r="Q147" s="94">
        <v>45415.625</v>
      </c>
      <c r="R147" s="114">
        <v>45568.4375</v>
      </c>
      <c r="S147" s="114" t="s">
        <v>118</v>
      </c>
      <c r="T147" s="114">
        <v>45415.6875</v>
      </c>
      <c r="U147" s="114">
        <v>45415.777083333334</v>
      </c>
      <c r="V147" s="95">
        <f t="shared" si="50"/>
        <v>0.19791666666424135</v>
      </c>
      <c r="W147" s="95">
        <v>0.20833333333333334</v>
      </c>
      <c r="X147" s="95" t="str">
        <f t="shared" si="51"/>
        <v>00:00</v>
      </c>
      <c r="Y147" s="96">
        <v>0</v>
      </c>
      <c r="Z147" s="96">
        <v>58</v>
      </c>
      <c r="AA147" s="96">
        <f t="shared" si="42"/>
        <v>58</v>
      </c>
      <c r="AB147" s="97">
        <f t="shared" si="43"/>
        <v>0</v>
      </c>
      <c r="AC147" s="97">
        <f t="shared" si="44"/>
        <v>4025.0000000000005</v>
      </c>
      <c r="AD147" s="98">
        <v>4025</v>
      </c>
      <c r="AE147" s="98">
        <v>4060</v>
      </c>
      <c r="AF147" s="98">
        <v>4071</v>
      </c>
      <c r="AG147" s="98">
        <f t="shared" si="45"/>
        <v>46</v>
      </c>
      <c r="AH147" s="99">
        <v>1398.7</v>
      </c>
      <c r="AI147" s="100">
        <f t="shared" si="46"/>
        <v>5694107.7000000002</v>
      </c>
      <c r="AJ147" s="100">
        <f>(1*AH147)*2</f>
        <v>2797.4</v>
      </c>
      <c r="AK147" s="100">
        <v>0</v>
      </c>
      <c r="AL147" s="100">
        <v>0</v>
      </c>
      <c r="AM147" s="100">
        <v>0</v>
      </c>
      <c r="AN147" s="100">
        <v>0</v>
      </c>
      <c r="AO147" s="100">
        <v>0</v>
      </c>
      <c r="AP147" s="100">
        <f t="shared" si="60"/>
        <v>284846</v>
      </c>
      <c r="AQ147" s="101">
        <f t="shared" si="49"/>
        <v>5981752</v>
      </c>
      <c r="AR147" s="101">
        <v>0</v>
      </c>
      <c r="AS147" s="101">
        <v>0</v>
      </c>
      <c r="AT147" s="102" t="s">
        <v>268</v>
      </c>
      <c r="AU147" s="109" t="s">
        <v>118</v>
      </c>
      <c r="AV147" s="100">
        <v>0</v>
      </c>
      <c r="AW147" s="105"/>
      <c r="AX147" s="106">
        <f t="shared" si="52"/>
        <v>1.1299435028248588</v>
      </c>
      <c r="AY147" s="101">
        <f t="shared" si="53"/>
        <v>64341</v>
      </c>
      <c r="AZ147" s="107"/>
      <c r="BA147" s="94">
        <v>45415.4375</v>
      </c>
      <c r="BB147" s="94">
        <v>45415.451388888891</v>
      </c>
      <c r="BC147" s="94">
        <v>45415.461805555555</v>
      </c>
      <c r="BD147" s="94">
        <v>45415.614583333336</v>
      </c>
      <c r="BE147" s="95">
        <f t="shared" si="54"/>
        <v>0.17708333333575865</v>
      </c>
      <c r="BF147" s="95">
        <v>1.0416666666666666E-2</v>
      </c>
      <c r="BG147" s="95">
        <v>6.25E-2</v>
      </c>
      <c r="BH147" s="95">
        <f t="shared" si="55"/>
        <v>1.3888888890505768E-2</v>
      </c>
      <c r="BI147" s="95">
        <f t="shared" si="55"/>
        <v>1.0416666664241347E-2</v>
      </c>
      <c r="BJ147" s="95">
        <f t="shared" si="55"/>
        <v>0.15277777778101154</v>
      </c>
      <c r="BK147" s="95">
        <f t="shared" si="56"/>
        <v>0.16319444444525288</v>
      </c>
      <c r="BL147" s="95">
        <f t="shared" si="57"/>
        <v>9.0277777778586227E-2</v>
      </c>
      <c r="BM147" s="95" t="str">
        <f t="shared" si="58"/>
        <v>00:00</v>
      </c>
      <c r="BN147" s="110"/>
    </row>
    <row r="148" spans="1:66" s="8" customFormat="1" ht="12.75" customHeight="1" x14ac:dyDescent="0.25">
      <c r="A148" s="90">
        <v>113</v>
      </c>
      <c r="B148" s="90">
        <v>11</v>
      </c>
      <c r="C148" s="90">
        <v>18</v>
      </c>
      <c r="D148" s="90" t="s">
        <v>113</v>
      </c>
      <c r="E148" s="91" t="s">
        <v>204</v>
      </c>
      <c r="F148" s="90" t="s">
        <v>32</v>
      </c>
      <c r="G148" s="90" t="s">
        <v>15</v>
      </c>
      <c r="H148" s="90" t="s">
        <v>127</v>
      </c>
      <c r="I148" s="92" t="s">
        <v>269</v>
      </c>
      <c r="J148" s="93">
        <v>45414</v>
      </c>
      <c r="K148" s="92" t="s">
        <v>122</v>
      </c>
      <c r="L148" s="92">
        <v>242000705</v>
      </c>
      <c r="M148" s="93">
        <v>45416</v>
      </c>
      <c r="N148" s="94">
        <v>45415.65625</v>
      </c>
      <c r="O148" s="94">
        <v>45415.65625</v>
      </c>
      <c r="P148" s="94">
        <v>45415.680555555555</v>
      </c>
      <c r="Q148" s="94">
        <v>45415.854166666664</v>
      </c>
      <c r="R148" s="114">
        <v>45415.677083333336</v>
      </c>
      <c r="S148" s="114" t="s">
        <v>118</v>
      </c>
      <c r="T148" s="114">
        <v>45415.927083333336</v>
      </c>
      <c r="U148" s="114">
        <v>45416.03125</v>
      </c>
      <c r="V148" s="95">
        <f t="shared" si="50"/>
        <v>0.19791666666424135</v>
      </c>
      <c r="W148" s="95">
        <v>0.20833333333333334</v>
      </c>
      <c r="X148" s="95" t="str">
        <f t="shared" si="51"/>
        <v>00:00</v>
      </c>
      <c r="Y148" s="96">
        <v>0</v>
      </c>
      <c r="Z148" s="96">
        <v>58</v>
      </c>
      <c r="AA148" s="96">
        <f t="shared" si="42"/>
        <v>58</v>
      </c>
      <c r="AB148" s="97">
        <f t="shared" si="43"/>
        <v>0</v>
      </c>
      <c r="AC148" s="97">
        <f t="shared" si="44"/>
        <v>3978.41</v>
      </c>
      <c r="AD148" s="98">
        <v>3978.41</v>
      </c>
      <c r="AE148" s="98">
        <v>4030.4</v>
      </c>
      <c r="AF148" s="98">
        <v>4040.8</v>
      </c>
      <c r="AG148" s="98">
        <f t="shared" si="45"/>
        <v>62.390000000000327</v>
      </c>
      <c r="AH148" s="99">
        <v>1484</v>
      </c>
      <c r="AI148" s="100">
        <f t="shared" si="46"/>
        <v>5996547.2000000002</v>
      </c>
      <c r="AJ148" s="100">
        <f>(0*AH148)*2</f>
        <v>0</v>
      </c>
      <c r="AK148" s="100">
        <v>0</v>
      </c>
      <c r="AL148" s="100">
        <v>24140</v>
      </c>
      <c r="AM148" s="100">
        <v>0</v>
      </c>
      <c r="AN148" s="100">
        <v>0</v>
      </c>
      <c r="AO148" s="100">
        <v>0</v>
      </c>
      <c r="AP148" s="100">
        <f t="shared" si="60"/>
        <v>301035</v>
      </c>
      <c r="AQ148" s="101">
        <f t="shared" ref="AQ148:AQ168" si="62">ROUNDUP(SUM(AI148:AP148),0)</f>
        <v>6321723</v>
      </c>
      <c r="AR148" s="101">
        <v>0</v>
      </c>
      <c r="AS148" s="101">
        <v>0</v>
      </c>
      <c r="AT148" s="102" t="s">
        <v>33</v>
      </c>
      <c r="AU148" s="109">
        <v>4</v>
      </c>
      <c r="AV148" s="100">
        <v>2.5</v>
      </c>
      <c r="AW148" s="105"/>
      <c r="AX148" s="106">
        <f t="shared" si="52"/>
        <v>1.5440011878835953</v>
      </c>
      <c r="AY148" s="101">
        <f t="shared" si="53"/>
        <v>92587</v>
      </c>
      <c r="AZ148" s="107"/>
      <c r="BA148" s="94">
        <v>45415.677083333336</v>
      </c>
      <c r="BB148" s="94">
        <v>45415.680555555555</v>
      </c>
      <c r="BC148" s="94">
        <v>45415.680555555555</v>
      </c>
      <c r="BD148" s="94">
        <v>45415.836805555555</v>
      </c>
      <c r="BE148" s="95">
        <f t="shared" si="54"/>
        <v>0.15972222221898846</v>
      </c>
      <c r="BF148" s="95">
        <v>0</v>
      </c>
      <c r="BG148" s="95">
        <v>5.6944444444444443E-2</v>
      </c>
      <c r="BH148" s="95">
        <f t="shared" si="55"/>
        <v>3.4722222189884633E-3</v>
      </c>
      <c r="BI148" s="95">
        <f t="shared" si="55"/>
        <v>0</v>
      </c>
      <c r="BJ148" s="95">
        <f t="shared" si="55"/>
        <v>0.15625</v>
      </c>
      <c r="BK148" s="95">
        <f t="shared" si="56"/>
        <v>0.15625</v>
      </c>
      <c r="BL148" s="95">
        <f t="shared" si="57"/>
        <v>9.9305555555555564E-2</v>
      </c>
      <c r="BM148" s="95" t="str">
        <f t="shared" si="58"/>
        <v>00:00</v>
      </c>
      <c r="BN148" s="110"/>
    </row>
    <row r="149" spans="1:66" s="8" customFormat="1" ht="12.75" customHeight="1" x14ac:dyDescent="0.25">
      <c r="A149" s="90">
        <v>114</v>
      </c>
      <c r="B149" s="90">
        <v>12</v>
      </c>
      <c r="C149" s="90">
        <v>18</v>
      </c>
      <c r="D149" s="90" t="s">
        <v>113</v>
      </c>
      <c r="E149" s="91" t="s">
        <v>156</v>
      </c>
      <c r="F149" s="90" t="s">
        <v>37</v>
      </c>
      <c r="G149" s="90" t="s">
        <v>8</v>
      </c>
      <c r="H149" s="90" t="s">
        <v>165</v>
      </c>
      <c r="I149" s="92" t="s">
        <v>270</v>
      </c>
      <c r="J149" s="93">
        <v>45415</v>
      </c>
      <c r="K149" s="92" t="s">
        <v>117</v>
      </c>
      <c r="L149" s="92">
        <v>481000039</v>
      </c>
      <c r="M149" s="93">
        <v>45416</v>
      </c>
      <c r="N149" s="94">
        <v>45415.8125</v>
      </c>
      <c r="O149" s="94">
        <v>45415.8125</v>
      </c>
      <c r="P149" s="94">
        <v>45415.815972222219</v>
      </c>
      <c r="Q149" s="94">
        <v>45415.993055555555</v>
      </c>
      <c r="R149" s="114" t="s">
        <v>118</v>
      </c>
      <c r="S149" s="114">
        <v>45416.125</v>
      </c>
      <c r="T149" s="114">
        <v>45416.131944444445</v>
      </c>
      <c r="U149" s="114">
        <v>45416.25</v>
      </c>
      <c r="V149" s="95">
        <f t="shared" si="50"/>
        <v>0.18055555555474712</v>
      </c>
      <c r="W149" s="95">
        <v>0.20833333333333334</v>
      </c>
      <c r="X149" s="95" t="str">
        <f t="shared" si="51"/>
        <v>00:00</v>
      </c>
      <c r="Y149" s="96">
        <v>0</v>
      </c>
      <c r="Z149" s="96">
        <v>59</v>
      </c>
      <c r="AA149" s="96">
        <f t="shared" si="42"/>
        <v>59</v>
      </c>
      <c r="AB149" s="97">
        <f t="shared" si="43"/>
        <v>0</v>
      </c>
      <c r="AC149" s="97">
        <f t="shared" si="44"/>
        <v>4094.5099999999998</v>
      </c>
      <c r="AD149" s="98">
        <v>4094.51</v>
      </c>
      <c r="AE149" s="98">
        <v>4123.3999999999996</v>
      </c>
      <c r="AF149" s="98">
        <v>4139.8</v>
      </c>
      <c r="AG149" s="98">
        <f t="shared" si="45"/>
        <v>45.289999999999964</v>
      </c>
      <c r="AH149" s="99">
        <v>1537.9</v>
      </c>
      <c r="AI149" s="100">
        <f t="shared" si="46"/>
        <v>6366598.4200000009</v>
      </c>
      <c r="AJ149" s="100">
        <f>(0*AH149)*2</f>
        <v>0</v>
      </c>
      <c r="AK149" s="100">
        <v>0</v>
      </c>
      <c r="AL149" s="100">
        <v>24290</v>
      </c>
      <c r="AM149" s="100">
        <v>0</v>
      </c>
      <c r="AN149" s="100">
        <v>0</v>
      </c>
      <c r="AO149" s="100">
        <v>0</v>
      </c>
      <c r="AP149" s="100">
        <f t="shared" si="60"/>
        <v>319545</v>
      </c>
      <c r="AQ149" s="101">
        <f t="shared" si="62"/>
        <v>6710434</v>
      </c>
      <c r="AR149" s="101">
        <v>0</v>
      </c>
      <c r="AS149" s="101">
        <v>0</v>
      </c>
      <c r="AT149" s="102" t="s">
        <v>33</v>
      </c>
      <c r="AU149" s="109">
        <v>8</v>
      </c>
      <c r="AV149" s="100">
        <v>6.5</v>
      </c>
      <c r="AW149" s="105"/>
      <c r="AX149" s="106">
        <f t="shared" si="52"/>
        <v>1.0940142035847134</v>
      </c>
      <c r="AY149" s="101">
        <f t="shared" si="53"/>
        <v>69652</v>
      </c>
      <c r="AZ149" s="107"/>
      <c r="BA149" s="94">
        <v>45415.8125</v>
      </c>
      <c r="BB149" s="94">
        <v>45415.815972222219</v>
      </c>
      <c r="BC149" s="94">
        <v>45415.868055555555</v>
      </c>
      <c r="BD149" s="94">
        <v>45416.113888888889</v>
      </c>
      <c r="BE149" s="95">
        <f t="shared" si="54"/>
        <v>0.30138888888905058</v>
      </c>
      <c r="BF149" s="95">
        <v>1.0416666666666666E-2</v>
      </c>
      <c r="BG149" s="95">
        <v>0.15486111111111112</v>
      </c>
      <c r="BH149" s="95">
        <f t="shared" ref="BH149:BJ169" si="63">+BB149-BA149</f>
        <v>3.4722222189884633E-3</v>
      </c>
      <c r="BI149" s="95">
        <f t="shared" si="63"/>
        <v>5.2083333335758653E-2</v>
      </c>
      <c r="BJ149" s="95">
        <f t="shared" si="63"/>
        <v>0.24583333333430346</v>
      </c>
      <c r="BK149" s="95">
        <f t="shared" si="56"/>
        <v>0.29791666667006211</v>
      </c>
      <c r="BL149" s="95">
        <f t="shared" si="57"/>
        <v>0.13263888889228431</v>
      </c>
      <c r="BM149" s="95">
        <f t="shared" si="58"/>
        <v>9.3055555555717234E-2</v>
      </c>
      <c r="BN149" s="110"/>
    </row>
    <row r="150" spans="1:66" s="8" customFormat="1" ht="12.75" customHeight="1" x14ac:dyDescent="0.25">
      <c r="A150" s="90">
        <v>115</v>
      </c>
      <c r="B150" s="90">
        <v>13</v>
      </c>
      <c r="C150" s="90">
        <v>19</v>
      </c>
      <c r="D150" s="90" t="s">
        <v>113</v>
      </c>
      <c r="E150" s="91" t="s">
        <v>204</v>
      </c>
      <c r="F150" s="90" t="s">
        <v>32</v>
      </c>
      <c r="G150" s="90" t="s">
        <v>15</v>
      </c>
      <c r="H150" s="90" t="s">
        <v>271</v>
      </c>
      <c r="I150" s="92" t="s">
        <v>272</v>
      </c>
      <c r="J150" s="93">
        <v>45415</v>
      </c>
      <c r="K150" s="92" t="s">
        <v>122</v>
      </c>
      <c r="L150" s="92">
        <v>262009636</v>
      </c>
      <c r="M150" s="93">
        <v>45416</v>
      </c>
      <c r="N150" s="94">
        <v>45416.0625</v>
      </c>
      <c r="O150" s="94">
        <v>45416.0625</v>
      </c>
      <c r="P150" s="94">
        <v>45416.076388888891</v>
      </c>
      <c r="Q150" s="94">
        <v>45416.270833333336</v>
      </c>
      <c r="R150" s="114">
        <v>45416.072916666664</v>
      </c>
      <c r="S150" s="114">
        <v>45416.354166666664</v>
      </c>
      <c r="T150" s="114">
        <v>45416.395833333336</v>
      </c>
      <c r="U150" s="114">
        <v>45416.572916666664</v>
      </c>
      <c r="V150" s="95">
        <f t="shared" si="50"/>
        <v>0.20833333333575865</v>
      </c>
      <c r="W150" s="95">
        <v>0.20833333333333334</v>
      </c>
      <c r="X150" s="95">
        <f t="shared" si="51"/>
        <v>2.4253099528692701E-12</v>
      </c>
      <c r="Y150" s="96">
        <v>0</v>
      </c>
      <c r="Z150" s="96">
        <v>58</v>
      </c>
      <c r="AA150" s="96">
        <f t="shared" si="42"/>
        <v>58</v>
      </c>
      <c r="AB150" s="97">
        <f t="shared" si="43"/>
        <v>0</v>
      </c>
      <c r="AC150" s="97">
        <f t="shared" si="44"/>
        <v>4003.6299999999997</v>
      </c>
      <c r="AD150" s="98">
        <v>4003.63</v>
      </c>
      <c r="AE150" s="98">
        <v>4039.6</v>
      </c>
      <c r="AF150" s="98">
        <v>4051.2</v>
      </c>
      <c r="AG150" s="98">
        <f t="shared" si="45"/>
        <v>47.569999999999709</v>
      </c>
      <c r="AH150" s="99">
        <v>1484</v>
      </c>
      <c r="AI150" s="100">
        <f t="shared" si="46"/>
        <v>6011980.7999999998</v>
      </c>
      <c r="AJ150" s="100">
        <f>(0*AH150)*2</f>
        <v>0</v>
      </c>
      <c r="AK150" s="100">
        <v>0</v>
      </c>
      <c r="AL150" s="100">
        <v>24140</v>
      </c>
      <c r="AM150" s="100">
        <v>0</v>
      </c>
      <c r="AN150" s="100">
        <v>0</v>
      </c>
      <c r="AO150" s="100">
        <v>0</v>
      </c>
      <c r="AP150" s="100">
        <f t="shared" si="60"/>
        <v>301807</v>
      </c>
      <c r="AQ150" s="101">
        <f t="shared" si="62"/>
        <v>6337928</v>
      </c>
      <c r="AR150" s="101">
        <v>0</v>
      </c>
      <c r="AS150" s="101">
        <v>0</v>
      </c>
      <c r="AT150" s="102" t="s">
        <v>33</v>
      </c>
      <c r="AU150" s="109"/>
      <c r="AV150" s="100">
        <v>5</v>
      </c>
      <c r="AW150" s="105"/>
      <c r="AX150" s="106">
        <f t="shared" si="52"/>
        <v>1.1742199842022045</v>
      </c>
      <c r="AY150" s="101">
        <f t="shared" si="53"/>
        <v>70594</v>
      </c>
      <c r="AZ150" s="107"/>
      <c r="BA150" s="94">
        <v>45416.072916666664</v>
      </c>
      <c r="BB150" s="94">
        <v>45416.076388888891</v>
      </c>
      <c r="BC150" s="94">
        <v>45416.135416666664</v>
      </c>
      <c r="BD150" s="94">
        <v>45416.366666666669</v>
      </c>
      <c r="BE150" s="95">
        <f t="shared" si="54"/>
        <v>0.29375000000436557</v>
      </c>
      <c r="BF150" s="95">
        <v>1.5972222222222221E-2</v>
      </c>
      <c r="BG150" s="95">
        <v>0.14722222222222223</v>
      </c>
      <c r="BH150" s="95">
        <f t="shared" si="63"/>
        <v>3.4722222262644209E-3</v>
      </c>
      <c r="BI150" s="95">
        <f t="shared" si="63"/>
        <v>5.9027777773735579E-2</v>
      </c>
      <c r="BJ150" s="95">
        <f t="shared" si="63"/>
        <v>0.23125000000436557</v>
      </c>
      <c r="BK150" s="95">
        <f t="shared" si="56"/>
        <v>0.29027777777810115</v>
      </c>
      <c r="BL150" s="95">
        <f t="shared" si="57"/>
        <v>0.12708333333365671</v>
      </c>
      <c r="BM150" s="95">
        <f t="shared" si="58"/>
        <v>8.5416666671032232E-2</v>
      </c>
      <c r="BN150" s="110"/>
    </row>
    <row r="151" spans="1:66" s="8" customFormat="1" ht="12.75" customHeight="1" x14ac:dyDescent="0.25">
      <c r="A151" s="90">
        <v>116</v>
      </c>
      <c r="B151" s="90">
        <v>14</v>
      </c>
      <c r="C151" s="90">
        <v>20</v>
      </c>
      <c r="D151" s="90" t="s">
        <v>113</v>
      </c>
      <c r="E151" s="91" t="s">
        <v>204</v>
      </c>
      <c r="F151" s="90" t="s">
        <v>32</v>
      </c>
      <c r="G151" s="90" t="s">
        <v>15</v>
      </c>
      <c r="H151" s="90" t="s">
        <v>273</v>
      </c>
      <c r="I151" s="92" t="s">
        <v>274</v>
      </c>
      <c r="J151" s="93">
        <v>45415</v>
      </c>
      <c r="K151" s="92" t="s">
        <v>117</v>
      </c>
      <c r="L151" s="92">
        <v>262009637</v>
      </c>
      <c r="M151" s="93">
        <v>45416</v>
      </c>
      <c r="N151" s="94">
        <v>45416.354166666664</v>
      </c>
      <c r="O151" s="94">
        <v>45416.354166666664</v>
      </c>
      <c r="P151" s="94">
        <v>45416.368055555555</v>
      </c>
      <c r="Q151" s="94">
        <v>45416.5625</v>
      </c>
      <c r="R151" s="114">
        <v>45416.364583333336</v>
      </c>
      <c r="S151" s="114">
        <v>45416.604166666664</v>
      </c>
      <c r="T151" s="114">
        <v>45416.638888888891</v>
      </c>
      <c r="U151" s="114">
        <v>45416.708333333336</v>
      </c>
      <c r="V151" s="95">
        <f t="shared" si="50"/>
        <v>0.20833333333575865</v>
      </c>
      <c r="W151" s="95">
        <v>0.20833333333333334</v>
      </c>
      <c r="X151" s="95">
        <f t="shared" si="51"/>
        <v>2.4253099528692701E-12</v>
      </c>
      <c r="Y151" s="96">
        <v>0</v>
      </c>
      <c r="Z151" s="96">
        <v>58</v>
      </c>
      <c r="AA151" s="96">
        <f t="shared" si="42"/>
        <v>58</v>
      </c>
      <c r="AB151" s="97">
        <f t="shared" si="43"/>
        <v>0</v>
      </c>
      <c r="AC151" s="97">
        <f t="shared" si="44"/>
        <v>3948.2000000000003</v>
      </c>
      <c r="AD151" s="98">
        <v>3948.2</v>
      </c>
      <c r="AE151" s="98">
        <v>4060</v>
      </c>
      <c r="AF151" s="98">
        <v>4061.6</v>
      </c>
      <c r="AG151" s="98">
        <f t="shared" si="45"/>
        <v>113.40000000000009</v>
      </c>
      <c r="AH151" s="99">
        <v>1435.6</v>
      </c>
      <c r="AI151" s="100">
        <f t="shared" si="46"/>
        <v>5830832.96</v>
      </c>
      <c r="AJ151" s="100">
        <f>(0.2*AH151)*2</f>
        <v>574.24</v>
      </c>
      <c r="AK151" s="100">
        <v>0</v>
      </c>
      <c r="AL151" s="100">
        <v>0</v>
      </c>
      <c r="AM151" s="100">
        <v>0</v>
      </c>
      <c r="AN151" s="100">
        <v>0</v>
      </c>
      <c r="AO151" s="100">
        <v>0</v>
      </c>
      <c r="AP151" s="100">
        <f t="shared" si="60"/>
        <v>291571</v>
      </c>
      <c r="AQ151" s="101">
        <f t="shared" si="62"/>
        <v>6122979</v>
      </c>
      <c r="AR151" s="101">
        <v>0</v>
      </c>
      <c r="AS151" s="101">
        <v>0</v>
      </c>
      <c r="AT151" s="102" t="s">
        <v>34</v>
      </c>
      <c r="AU151" s="109" t="s">
        <v>118</v>
      </c>
      <c r="AV151" s="100">
        <v>0</v>
      </c>
      <c r="AW151" s="105"/>
      <c r="AX151" s="106">
        <f t="shared" si="52"/>
        <v>2.7920031514674046</v>
      </c>
      <c r="AY151" s="101">
        <f t="shared" si="53"/>
        <v>162798</v>
      </c>
      <c r="AZ151" s="107"/>
      <c r="BA151" s="94">
        <v>45416.364583333336</v>
      </c>
      <c r="BB151" s="94">
        <v>45416.368055555555</v>
      </c>
      <c r="BC151" s="94">
        <v>45416.381944444445</v>
      </c>
      <c r="BD151" s="94">
        <v>45416.586805555555</v>
      </c>
      <c r="BE151" s="95">
        <f t="shared" si="54"/>
        <v>0.22222222221898846</v>
      </c>
      <c r="BF151" s="95">
        <v>5.4166666666666669E-2</v>
      </c>
      <c r="BG151" s="95">
        <v>4.3749999999999997E-2</v>
      </c>
      <c r="BH151" s="95">
        <f t="shared" si="63"/>
        <v>3.4722222189884633E-3</v>
      </c>
      <c r="BI151" s="95">
        <f t="shared" si="63"/>
        <v>1.3888888890505768E-2</v>
      </c>
      <c r="BJ151" s="95">
        <f t="shared" si="63"/>
        <v>0.20486111110949423</v>
      </c>
      <c r="BK151" s="95">
        <f t="shared" si="56"/>
        <v>0.21875</v>
      </c>
      <c r="BL151" s="95">
        <f t="shared" si="57"/>
        <v>0.12083333333333333</v>
      </c>
      <c r="BM151" s="95">
        <f t="shared" si="58"/>
        <v>1.3888888885655121E-2</v>
      </c>
      <c r="BN151" s="110"/>
    </row>
    <row r="152" spans="1:66" s="8" customFormat="1" ht="12.75" customHeight="1" x14ac:dyDescent="0.25">
      <c r="A152" s="90">
        <v>117</v>
      </c>
      <c r="B152" s="90">
        <v>15</v>
      </c>
      <c r="C152" s="90">
        <v>20</v>
      </c>
      <c r="D152" s="90" t="s">
        <v>113</v>
      </c>
      <c r="E152" s="91" t="s">
        <v>188</v>
      </c>
      <c r="F152" s="90" t="s">
        <v>29</v>
      </c>
      <c r="G152" s="90" t="s">
        <v>15</v>
      </c>
      <c r="H152" s="90" t="s">
        <v>124</v>
      </c>
      <c r="I152" s="92" t="s">
        <v>275</v>
      </c>
      <c r="J152" s="93"/>
      <c r="K152" s="92" t="s">
        <v>122</v>
      </c>
      <c r="L152" s="92">
        <v>261005722</v>
      </c>
      <c r="M152" s="93">
        <v>45417</v>
      </c>
      <c r="N152" s="94">
        <v>45416.604166666664</v>
      </c>
      <c r="O152" s="94">
        <v>45416.604166666664</v>
      </c>
      <c r="P152" s="94">
        <v>45416.625</v>
      </c>
      <c r="Q152" s="94">
        <v>45416.8125</v>
      </c>
      <c r="R152" s="114">
        <v>45416.614583333336</v>
      </c>
      <c r="S152" s="114" t="s">
        <v>118</v>
      </c>
      <c r="T152" s="114">
        <v>45416.895833333336</v>
      </c>
      <c r="U152" s="114">
        <v>45417.013194444444</v>
      </c>
      <c r="V152" s="95">
        <f t="shared" si="50"/>
        <v>0.20833333333575865</v>
      </c>
      <c r="W152" s="95">
        <v>0.20833333333333334</v>
      </c>
      <c r="X152" s="95">
        <f t="shared" si="51"/>
        <v>2.4253099528692701E-12</v>
      </c>
      <c r="Y152" s="96">
        <v>0</v>
      </c>
      <c r="Z152" s="96">
        <v>58</v>
      </c>
      <c r="AA152" s="96">
        <f t="shared" si="42"/>
        <v>58</v>
      </c>
      <c r="AB152" s="97">
        <f t="shared" si="43"/>
        <v>0</v>
      </c>
      <c r="AC152" s="97">
        <f t="shared" si="44"/>
        <v>3970.93</v>
      </c>
      <c r="AD152" s="98">
        <v>3970.93</v>
      </c>
      <c r="AE152" s="98">
        <v>4054.9</v>
      </c>
      <c r="AF152" s="98">
        <v>4058.2</v>
      </c>
      <c r="AG152" s="98">
        <f t="shared" si="45"/>
        <v>87.269999999999982</v>
      </c>
      <c r="AH152" s="99">
        <v>797.2</v>
      </c>
      <c r="AI152" s="100">
        <f t="shared" si="46"/>
        <v>3235197.04</v>
      </c>
      <c r="AJ152" s="100">
        <f>(0.4*AH152)*2</f>
        <v>637.7600000000001</v>
      </c>
      <c r="AK152" s="100">
        <v>0</v>
      </c>
      <c r="AL152" s="100">
        <v>0</v>
      </c>
      <c r="AM152" s="100">
        <v>0</v>
      </c>
      <c r="AN152" s="100">
        <v>0</v>
      </c>
      <c r="AO152" s="100">
        <v>0</v>
      </c>
      <c r="AP152" s="100">
        <f t="shared" si="60"/>
        <v>161792</v>
      </c>
      <c r="AQ152" s="101">
        <f t="shared" si="62"/>
        <v>3397627</v>
      </c>
      <c r="AR152" s="101">
        <v>0</v>
      </c>
      <c r="AS152" s="101">
        <v>0</v>
      </c>
      <c r="AT152" s="102" t="s">
        <v>33</v>
      </c>
      <c r="AU152" s="109" t="s">
        <v>118</v>
      </c>
      <c r="AV152" s="100">
        <v>0</v>
      </c>
      <c r="AW152" s="105"/>
      <c r="AX152" s="106">
        <f t="shared" si="52"/>
        <v>2.1504607954265436</v>
      </c>
      <c r="AY152" s="101">
        <f t="shared" si="53"/>
        <v>69572</v>
      </c>
      <c r="AZ152" s="107"/>
      <c r="BA152" s="94">
        <v>45416.604166666664</v>
      </c>
      <c r="BB152" s="94">
        <v>45416.625</v>
      </c>
      <c r="BC152" s="94">
        <v>45416.654166666667</v>
      </c>
      <c r="BD152" s="94">
        <v>45416.82708333333</v>
      </c>
      <c r="BE152" s="95">
        <f t="shared" si="54"/>
        <v>0.22291666666569654</v>
      </c>
      <c r="BF152" s="95">
        <v>0</v>
      </c>
      <c r="BG152" s="95">
        <v>8.4722222222222227E-2</v>
      </c>
      <c r="BH152" s="95">
        <f t="shared" si="63"/>
        <v>2.0833333335758653E-2</v>
      </c>
      <c r="BI152" s="95">
        <f t="shared" si="63"/>
        <v>2.9166666667151731E-2</v>
      </c>
      <c r="BJ152" s="95">
        <f t="shared" si="63"/>
        <v>0.17291666666278616</v>
      </c>
      <c r="BK152" s="95">
        <f t="shared" si="56"/>
        <v>0.20208333332993789</v>
      </c>
      <c r="BL152" s="95">
        <f t="shared" si="57"/>
        <v>0.11736111110771566</v>
      </c>
      <c r="BM152" s="95">
        <f t="shared" si="58"/>
        <v>1.4583333332363196E-2</v>
      </c>
      <c r="BN152" s="110"/>
    </row>
    <row r="153" spans="1:66" s="8" customFormat="1" ht="12.75" customHeight="1" x14ac:dyDescent="0.25">
      <c r="A153" s="90">
        <v>118</v>
      </c>
      <c r="B153" s="90">
        <v>16</v>
      </c>
      <c r="C153" s="90">
        <v>6</v>
      </c>
      <c r="D153" s="90" t="s">
        <v>113</v>
      </c>
      <c r="E153" s="91" t="s">
        <v>114</v>
      </c>
      <c r="F153" s="90" t="s">
        <v>39</v>
      </c>
      <c r="G153" s="90" t="s">
        <v>12</v>
      </c>
      <c r="H153" s="90" t="s">
        <v>115</v>
      </c>
      <c r="I153" s="92" t="s">
        <v>276</v>
      </c>
      <c r="J153" s="93">
        <v>45416</v>
      </c>
      <c r="K153" s="92" t="s">
        <v>117</v>
      </c>
      <c r="L153" s="92">
        <v>282000901</v>
      </c>
      <c r="M153" s="93">
        <v>45417</v>
      </c>
      <c r="N153" s="94">
        <v>45416.822916666664</v>
      </c>
      <c r="O153" s="94">
        <v>45416.822916666664</v>
      </c>
      <c r="P153" s="94">
        <v>45416.885416666664</v>
      </c>
      <c r="Q153" s="94">
        <v>45416.989583333336</v>
      </c>
      <c r="R153" s="114">
        <v>45416.875</v>
      </c>
      <c r="S153" s="114" t="s">
        <v>118</v>
      </c>
      <c r="T153" s="114">
        <v>45417.125</v>
      </c>
      <c r="U153" s="114">
        <v>45417.310416666667</v>
      </c>
      <c r="V153" s="95">
        <f t="shared" si="50"/>
        <v>0.16666666667151731</v>
      </c>
      <c r="W153" s="95">
        <v>0.20833333333333334</v>
      </c>
      <c r="X153" s="95" t="str">
        <f t="shared" si="51"/>
        <v>00:00</v>
      </c>
      <c r="Y153" s="96">
        <v>0</v>
      </c>
      <c r="Z153" s="96">
        <v>59</v>
      </c>
      <c r="AA153" s="96">
        <f t="shared" si="42"/>
        <v>59</v>
      </c>
      <c r="AB153" s="97">
        <f t="shared" si="43"/>
        <v>0</v>
      </c>
      <c r="AC153" s="97">
        <f t="shared" si="44"/>
        <v>3991.15</v>
      </c>
      <c r="AD153" s="98">
        <v>3991.15</v>
      </c>
      <c r="AE153" s="98">
        <v>4088.2</v>
      </c>
      <c r="AF153" s="98">
        <v>4094.4</v>
      </c>
      <c r="AG153" s="98">
        <f t="shared" si="45"/>
        <v>103.25</v>
      </c>
      <c r="AH153" s="99">
        <v>1586.7</v>
      </c>
      <c r="AI153" s="100">
        <f t="shared" si="46"/>
        <v>6496584.4800000004</v>
      </c>
      <c r="AJ153" s="100">
        <f>(0.2*AH153)*2</f>
        <v>634.68000000000006</v>
      </c>
      <c r="AK153" s="100">
        <v>0</v>
      </c>
      <c r="AL153" s="100">
        <v>0</v>
      </c>
      <c r="AM153" s="100">
        <v>0</v>
      </c>
      <c r="AN153" s="100">
        <v>0</v>
      </c>
      <c r="AO153" s="100">
        <f>IFERROR(AF153*20+(((AJ153/AH153)/2)*20),0)</f>
        <v>81892</v>
      </c>
      <c r="AP153" s="100">
        <f t="shared" si="60"/>
        <v>328956</v>
      </c>
      <c r="AQ153" s="101">
        <f t="shared" si="62"/>
        <v>6908068</v>
      </c>
      <c r="AR153" s="101">
        <v>0</v>
      </c>
      <c r="AS153" s="101">
        <v>0</v>
      </c>
      <c r="AT153" s="102" t="s">
        <v>33</v>
      </c>
      <c r="AU153" s="109" t="s">
        <v>118</v>
      </c>
      <c r="AV153" s="100">
        <v>0</v>
      </c>
      <c r="AW153" s="105"/>
      <c r="AX153" s="106">
        <f t="shared" si="52"/>
        <v>2.5217370066432201</v>
      </c>
      <c r="AY153" s="101">
        <f t="shared" si="53"/>
        <v>163827</v>
      </c>
      <c r="AZ153" s="107"/>
      <c r="BA153" s="94">
        <v>45416.875</v>
      </c>
      <c r="BB153" s="94">
        <v>45416.885416666664</v>
      </c>
      <c r="BC153" s="94">
        <v>45416.895833333336</v>
      </c>
      <c r="BD153" s="94">
        <v>45417.074305555558</v>
      </c>
      <c r="BE153" s="95">
        <f t="shared" si="54"/>
        <v>0.1993055555576575</v>
      </c>
      <c r="BF153" s="95">
        <v>0</v>
      </c>
      <c r="BG153" s="95">
        <v>1.0416666666666666E-2</v>
      </c>
      <c r="BH153" s="95">
        <f t="shared" si="63"/>
        <v>1.0416666664241347E-2</v>
      </c>
      <c r="BI153" s="95">
        <f t="shared" si="63"/>
        <v>1.0416666671517305E-2</v>
      </c>
      <c r="BJ153" s="95">
        <f t="shared" si="63"/>
        <v>0.17847222222189885</v>
      </c>
      <c r="BK153" s="95">
        <f t="shared" si="56"/>
        <v>0.18888888889341615</v>
      </c>
      <c r="BL153" s="95">
        <f t="shared" si="57"/>
        <v>0.17847222222674949</v>
      </c>
      <c r="BM153" s="95" t="str">
        <f t="shared" si="58"/>
        <v>00:00</v>
      </c>
      <c r="BN153" s="110"/>
    </row>
    <row r="154" spans="1:66" s="8" customFormat="1" ht="12.75" customHeight="1" x14ac:dyDescent="0.25">
      <c r="A154" s="90">
        <v>119</v>
      </c>
      <c r="B154" s="90">
        <v>17</v>
      </c>
      <c r="C154" s="90">
        <v>13</v>
      </c>
      <c r="D154" s="90" t="s">
        <v>148</v>
      </c>
      <c r="E154" s="91" t="s">
        <v>235</v>
      </c>
      <c r="F154" s="90" t="s">
        <v>16</v>
      </c>
      <c r="G154" s="90" t="s">
        <v>17</v>
      </c>
      <c r="H154" s="90" t="s">
        <v>150</v>
      </c>
      <c r="I154" s="92" t="s">
        <v>277</v>
      </c>
      <c r="J154" s="93">
        <v>45416</v>
      </c>
      <c r="K154" s="92" t="s">
        <v>122</v>
      </c>
      <c r="L154" s="92">
        <v>461000220</v>
      </c>
      <c r="M154" s="93">
        <v>45417</v>
      </c>
      <c r="N154" s="94">
        <v>45417.0625</v>
      </c>
      <c r="O154" s="94">
        <v>45417.0625</v>
      </c>
      <c r="P154" s="94">
        <v>45417.076388888891</v>
      </c>
      <c r="Q154" s="94">
        <v>45417.270833333336</v>
      </c>
      <c r="R154" s="114">
        <v>45417.072916666664</v>
      </c>
      <c r="S154" s="114" t="s">
        <v>118</v>
      </c>
      <c r="T154" s="114">
        <v>45417.354166666664</v>
      </c>
      <c r="U154" s="114">
        <v>45417.583333333336</v>
      </c>
      <c r="V154" s="95">
        <f t="shared" si="50"/>
        <v>0.20833333333575865</v>
      </c>
      <c r="W154" s="95">
        <v>0.20833333333333334</v>
      </c>
      <c r="X154" s="95">
        <f t="shared" si="51"/>
        <v>2.4253099528692701E-12</v>
      </c>
      <c r="Y154" s="96">
        <v>4</v>
      </c>
      <c r="Z154" s="96">
        <v>54</v>
      </c>
      <c r="AA154" s="96">
        <f t="shared" si="42"/>
        <v>58</v>
      </c>
      <c r="AB154" s="97">
        <f t="shared" si="43"/>
        <v>274.74620689655171</v>
      </c>
      <c r="AC154" s="97">
        <f t="shared" si="44"/>
        <v>3709.0737931034482</v>
      </c>
      <c r="AD154" s="98">
        <v>3983.82</v>
      </c>
      <c r="AE154" s="98">
        <v>4033.9</v>
      </c>
      <c r="AF154" s="98">
        <v>4044</v>
      </c>
      <c r="AG154" s="98">
        <f t="shared" si="45"/>
        <v>60.179999999999836</v>
      </c>
      <c r="AH154" s="99">
        <v>672.5</v>
      </c>
      <c r="AI154" s="100">
        <f t="shared" si="46"/>
        <v>2719590</v>
      </c>
      <c r="AJ154" s="100">
        <f t="shared" ref="AJ154:AJ159" si="64">(0*AH154)*2</f>
        <v>0</v>
      </c>
      <c r="AK154" s="100">
        <v>0</v>
      </c>
      <c r="AL154" s="100">
        <v>24140</v>
      </c>
      <c r="AM154" s="100">
        <v>0</v>
      </c>
      <c r="AN154" s="100">
        <v>0</v>
      </c>
      <c r="AO154" s="100">
        <v>0</v>
      </c>
      <c r="AP154" s="100">
        <f t="shared" si="60"/>
        <v>137187</v>
      </c>
      <c r="AQ154" s="101">
        <f t="shared" si="62"/>
        <v>2880917</v>
      </c>
      <c r="AR154" s="101">
        <v>0</v>
      </c>
      <c r="AS154" s="101">
        <v>0</v>
      </c>
      <c r="AT154" s="102" t="s">
        <v>33</v>
      </c>
      <c r="AU154" s="109"/>
      <c r="AV154" s="100">
        <v>6.5</v>
      </c>
      <c r="AW154" s="105"/>
      <c r="AX154" s="106">
        <f t="shared" si="52"/>
        <v>1.4881305637982156</v>
      </c>
      <c r="AY154" s="101">
        <f t="shared" si="53"/>
        <v>40472</v>
      </c>
      <c r="AZ154" s="107"/>
      <c r="BA154" s="94">
        <v>45417.072916666664</v>
      </c>
      <c r="BB154" s="94">
        <v>45417.076388888891</v>
      </c>
      <c r="BC154" s="94">
        <v>45417.103472222225</v>
      </c>
      <c r="BD154" s="94">
        <v>45417.227083333331</v>
      </c>
      <c r="BE154" s="95">
        <f t="shared" si="54"/>
        <v>0.15416666666715173</v>
      </c>
      <c r="BF154" s="95">
        <v>1.3194444444444444E-2</v>
      </c>
      <c r="BG154" s="95">
        <v>1.3888888888888888E-2</v>
      </c>
      <c r="BH154" s="95">
        <f t="shared" si="63"/>
        <v>3.4722222262644209E-3</v>
      </c>
      <c r="BI154" s="95">
        <f t="shared" si="63"/>
        <v>2.7083333334303461E-2</v>
      </c>
      <c r="BJ154" s="95">
        <f t="shared" si="63"/>
        <v>0.12361111110658385</v>
      </c>
      <c r="BK154" s="95">
        <f t="shared" si="56"/>
        <v>0.15069444444088731</v>
      </c>
      <c r="BL154" s="95">
        <f t="shared" si="57"/>
        <v>0.12361111110755396</v>
      </c>
      <c r="BM154" s="95" t="str">
        <f t="shared" si="58"/>
        <v>00:00</v>
      </c>
      <c r="BN154" s="110"/>
    </row>
    <row r="155" spans="1:66" s="8" customFormat="1" ht="12.75" customHeight="1" x14ac:dyDescent="0.25">
      <c r="A155" s="90">
        <v>120</v>
      </c>
      <c r="B155" s="90">
        <v>18</v>
      </c>
      <c r="C155" s="90">
        <v>20</v>
      </c>
      <c r="D155" s="90" t="s">
        <v>113</v>
      </c>
      <c r="E155" s="91" t="s">
        <v>204</v>
      </c>
      <c r="F155" s="90" t="s">
        <v>32</v>
      </c>
      <c r="G155" s="90" t="s">
        <v>15</v>
      </c>
      <c r="H155" s="90" t="s">
        <v>213</v>
      </c>
      <c r="I155" s="92" t="s">
        <v>278</v>
      </c>
      <c r="J155" s="93">
        <v>45442</v>
      </c>
      <c r="K155" s="92" t="s">
        <v>122</v>
      </c>
      <c r="L155" s="92">
        <v>262009640</v>
      </c>
      <c r="M155" s="93">
        <v>45417</v>
      </c>
      <c r="N155" s="94">
        <v>45417.614583333336</v>
      </c>
      <c r="O155" s="94">
        <v>45417.614583333336</v>
      </c>
      <c r="P155" s="94">
        <v>45417.618055555555</v>
      </c>
      <c r="Q155" s="94">
        <v>45417.802083333336</v>
      </c>
      <c r="R155" s="114" t="s">
        <v>118</v>
      </c>
      <c r="S155" s="114" t="s">
        <v>118</v>
      </c>
      <c r="T155" s="114">
        <v>45417.805555555555</v>
      </c>
      <c r="U155" s="114">
        <v>45417.884027777778</v>
      </c>
      <c r="V155" s="95">
        <f t="shared" si="50"/>
        <v>0.1875</v>
      </c>
      <c r="W155" s="95">
        <v>0.20833333333333334</v>
      </c>
      <c r="X155" s="95" t="str">
        <f t="shared" si="51"/>
        <v>00:00</v>
      </c>
      <c r="Y155" s="96">
        <v>0</v>
      </c>
      <c r="Z155" s="96">
        <v>59</v>
      </c>
      <c r="AA155" s="96">
        <f t="shared" si="42"/>
        <v>59</v>
      </c>
      <c r="AB155" s="97">
        <f t="shared" si="43"/>
        <v>0</v>
      </c>
      <c r="AC155" s="97">
        <f t="shared" si="44"/>
        <v>3961.89</v>
      </c>
      <c r="AD155" s="98">
        <v>3961.89</v>
      </c>
      <c r="AE155" s="98">
        <v>4102.3999999999996</v>
      </c>
      <c r="AF155" s="98">
        <v>4102.3999999999996</v>
      </c>
      <c r="AG155" s="98">
        <f t="shared" si="45"/>
        <v>140.50999999999976</v>
      </c>
      <c r="AH155" s="99">
        <v>2329.4</v>
      </c>
      <c r="AI155" s="100">
        <f t="shared" si="46"/>
        <v>9556130.5599999987</v>
      </c>
      <c r="AJ155" s="100">
        <f t="shared" si="64"/>
        <v>0</v>
      </c>
      <c r="AK155" s="100">
        <v>0</v>
      </c>
      <c r="AL155" s="100">
        <v>0</v>
      </c>
      <c r="AM155" s="100">
        <v>0</v>
      </c>
      <c r="AN155" s="100">
        <v>0</v>
      </c>
      <c r="AO155" s="100">
        <v>0</v>
      </c>
      <c r="AP155" s="100">
        <f t="shared" si="60"/>
        <v>477807</v>
      </c>
      <c r="AQ155" s="101">
        <f t="shared" si="62"/>
        <v>10033938</v>
      </c>
      <c r="AR155" s="101">
        <v>0</v>
      </c>
      <c r="AS155" s="101">
        <v>0</v>
      </c>
      <c r="AT155" s="102" t="s">
        <v>33</v>
      </c>
      <c r="AU155" s="109" t="s">
        <v>118</v>
      </c>
      <c r="AV155" s="100">
        <v>0</v>
      </c>
      <c r="AW155" s="105"/>
      <c r="AX155" s="106">
        <f t="shared" si="52"/>
        <v>3.425068252730104</v>
      </c>
      <c r="AY155" s="101">
        <f t="shared" si="53"/>
        <v>327304</v>
      </c>
      <c r="AZ155" s="107"/>
      <c r="BA155" s="94">
        <v>45417.614583333336</v>
      </c>
      <c r="BB155" s="94">
        <v>45417.618055555555</v>
      </c>
      <c r="BC155" s="94">
        <v>45417.631944444445</v>
      </c>
      <c r="BD155" s="94">
        <v>45417.789583333331</v>
      </c>
      <c r="BE155" s="95">
        <f t="shared" si="54"/>
        <v>0.17499999999563443</v>
      </c>
      <c r="BF155" s="95">
        <v>2.2916666666666665E-2</v>
      </c>
      <c r="BG155" s="95">
        <v>4.2361111111111113E-2</v>
      </c>
      <c r="BH155" s="95">
        <f t="shared" si="63"/>
        <v>3.4722222189884633E-3</v>
      </c>
      <c r="BI155" s="95">
        <f t="shared" si="63"/>
        <v>1.3888888890505768E-2</v>
      </c>
      <c r="BJ155" s="95">
        <f t="shared" si="63"/>
        <v>0.15763888888614019</v>
      </c>
      <c r="BK155" s="95">
        <f t="shared" si="56"/>
        <v>0.17152777777664596</v>
      </c>
      <c r="BL155" s="95">
        <f t="shared" si="57"/>
        <v>0.10624999999886818</v>
      </c>
      <c r="BM155" s="95" t="str">
        <f t="shared" si="58"/>
        <v>00:00</v>
      </c>
      <c r="BN155" s="110"/>
    </row>
    <row r="156" spans="1:66" s="8" customFormat="1" ht="12.75" customHeight="1" x14ac:dyDescent="0.25">
      <c r="A156" s="90">
        <v>121</v>
      </c>
      <c r="B156" s="90">
        <v>19</v>
      </c>
      <c r="C156" s="90">
        <v>9</v>
      </c>
      <c r="D156" s="90" t="s">
        <v>113</v>
      </c>
      <c r="E156" s="91" t="s">
        <v>140</v>
      </c>
      <c r="F156" s="90" t="s">
        <v>25</v>
      </c>
      <c r="G156" s="90" t="s">
        <v>12</v>
      </c>
      <c r="H156" s="90" t="s">
        <v>115</v>
      </c>
      <c r="I156" s="92" t="s">
        <v>279</v>
      </c>
      <c r="J156" s="93">
        <v>45417</v>
      </c>
      <c r="K156" s="92" t="s">
        <v>117</v>
      </c>
      <c r="L156" s="92">
        <v>282000902</v>
      </c>
      <c r="M156" s="93">
        <v>45418</v>
      </c>
      <c r="N156" s="94">
        <v>45417.802083333336</v>
      </c>
      <c r="O156" s="94">
        <v>45417.802083333336</v>
      </c>
      <c r="P156" s="94">
        <v>45417.805555555555</v>
      </c>
      <c r="Q156" s="94">
        <v>45417.989583333336</v>
      </c>
      <c r="R156" s="114" t="s">
        <v>118</v>
      </c>
      <c r="S156" s="114" t="s">
        <v>118</v>
      </c>
      <c r="T156" s="114">
        <v>45418.020833333336</v>
      </c>
      <c r="U156" s="114">
        <v>45418.125</v>
      </c>
      <c r="V156" s="95">
        <f t="shared" si="50"/>
        <v>0.1875</v>
      </c>
      <c r="W156" s="95">
        <v>0.20833333333333334</v>
      </c>
      <c r="X156" s="95" t="str">
        <f t="shared" si="51"/>
        <v>00:00</v>
      </c>
      <c r="Y156" s="96">
        <v>0</v>
      </c>
      <c r="Z156" s="96">
        <v>58</v>
      </c>
      <c r="AA156" s="96">
        <f t="shared" si="42"/>
        <v>58</v>
      </c>
      <c r="AB156" s="97">
        <f t="shared" si="43"/>
        <v>0</v>
      </c>
      <c r="AC156" s="97">
        <f t="shared" si="44"/>
        <v>3880.81</v>
      </c>
      <c r="AD156" s="98">
        <v>3880.81</v>
      </c>
      <c r="AE156" s="98">
        <v>4017.4</v>
      </c>
      <c r="AF156" s="98">
        <v>4021.8</v>
      </c>
      <c r="AG156" s="98">
        <f t="shared" si="45"/>
        <v>140.99000000000024</v>
      </c>
      <c r="AH156" s="99">
        <v>1586.7</v>
      </c>
      <c r="AI156" s="100">
        <f t="shared" si="46"/>
        <v>6381390.0600000005</v>
      </c>
      <c r="AJ156" s="100">
        <f t="shared" si="64"/>
        <v>0</v>
      </c>
      <c r="AK156" s="100">
        <v>0</v>
      </c>
      <c r="AL156" s="100">
        <v>24140</v>
      </c>
      <c r="AM156" s="100">
        <v>0</v>
      </c>
      <c r="AN156" s="100">
        <v>0</v>
      </c>
      <c r="AO156" s="100">
        <f>IFERROR(AF156*20+(((AJ156/AH156)/2)*20),0)</f>
        <v>80436</v>
      </c>
      <c r="AP156" s="100">
        <f t="shared" si="60"/>
        <v>324299</v>
      </c>
      <c r="AQ156" s="101">
        <f t="shared" si="62"/>
        <v>6810266</v>
      </c>
      <c r="AR156" s="101">
        <v>0</v>
      </c>
      <c r="AS156" s="101">
        <v>0</v>
      </c>
      <c r="AT156" s="102" t="s">
        <v>33</v>
      </c>
      <c r="AU156" s="109"/>
      <c r="AV156" s="100">
        <v>2.5</v>
      </c>
      <c r="AW156" s="105"/>
      <c r="AX156" s="106">
        <f t="shared" si="52"/>
        <v>3.5056442388980118</v>
      </c>
      <c r="AY156" s="101">
        <f t="shared" si="53"/>
        <v>223709</v>
      </c>
      <c r="AZ156" s="107"/>
      <c r="BA156" s="94">
        <v>45417.802083333336</v>
      </c>
      <c r="BB156" s="94">
        <v>45417.805555555555</v>
      </c>
      <c r="BC156" s="94">
        <v>45417.833333333336</v>
      </c>
      <c r="BD156" s="94">
        <v>45417.989583333336</v>
      </c>
      <c r="BE156" s="95">
        <f t="shared" si="54"/>
        <v>0.1875</v>
      </c>
      <c r="BF156" s="95">
        <v>2.9166666666666667E-2</v>
      </c>
      <c r="BG156" s="95">
        <v>4.1666666666666666E-3</v>
      </c>
      <c r="BH156" s="95">
        <f t="shared" si="63"/>
        <v>3.4722222189884633E-3</v>
      </c>
      <c r="BI156" s="95">
        <f t="shared" si="63"/>
        <v>2.7777777781011537E-2</v>
      </c>
      <c r="BJ156" s="95">
        <f t="shared" si="63"/>
        <v>0.15625</v>
      </c>
      <c r="BK156" s="95">
        <f t="shared" si="56"/>
        <v>0.18402777778101154</v>
      </c>
      <c r="BL156" s="95">
        <f t="shared" si="57"/>
        <v>0.15069444444767818</v>
      </c>
      <c r="BM156" s="95" t="str">
        <f t="shared" si="58"/>
        <v>00:00</v>
      </c>
      <c r="BN156" s="110"/>
    </row>
    <row r="157" spans="1:66" s="8" customFormat="1" ht="12.75" customHeight="1" x14ac:dyDescent="0.25">
      <c r="A157" s="90">
        <v>122</v>
      </c>
      <c r="B157" s="90">
        <v>20</v>
      </c>
      <c r="C157" s="90">
        <v>21</v>
      </c>
      <c r="D157" s="90" t="s">
        <v>113</v>
      </c>
      <c r="E157" s="91" t="s">
        <v>188</v>
      </c>
      <c r="F157" s="90" t="s">
        <v>29</v>
      </c>
      <c r="G157" s="90" t="s">
        <v>15</v>
      </c>
      <c r="H157" s="90" t="s">
        <v>124</v>
      </c>
      <c r="I157" s="92" t="s">
        <v>280</v>
      </c>
      <c r="J157" s="93"/>
      <c r="K157" s="92" t="s">
        <v>122</v>
      </c>
      <c r="L157" s="92">
        <v>261005723</v>
      </c>
      <c r="M157" s="93">
        <v>45418</v>
      </c>
      <c r="N157" s="94">
        <v>45417.958333333336</v>
      </c>
      <c r="O157" s="94">
        <v>45417.958333333336</v>
      </c>
      <c r="P157" s="94">
        <v>45417.961805555555</v>
      </c>
      <c r="Q157" s="94">
        <v>45418.166666666664</v>
      </c>
      <c r="R157" s="114" t="s">
        <v>118</v>
      </c>
      <c r="S157" s="114">
        <v>45418.201388888891</v>
      </c>
      <c r="T157" s="114">
        <v>45418.229166666664</v>
      </c>
      <c r="U157" s="114">
        <v>45418.385416666664</v>
      </c>
      <c r="V157" s="95">
        <f t="shared" si="50"/>
        <v>0.20833333332848269</v>
      </c>
      <c r="W157" s="95">
        <v>0.20833333333333334</v>
      </c>
      <c r="X157" s="95" t="str">
        <f t="shared" si="51"/>
        <v>00:00</v>
      </c>
      <c r="Y157" s="96">
        <v>3</v>
      </c>
      <c r="Z157" s="96">
        <v>56</v>
      </c>
      <c r="AA157" s="96">
        <f t="shared" si="42"/>
        <v>59</v>
      </c>
      <c r="AB157" s="97">
        <f t="shared" si="43"/>
        <v>200.81847457627117</v>
      </c>
      <c r="AC157" s="97">
        <f t="shared" si="44"/>
        <v>3748.6115254237284</v>
      </c>
      <c r="AD157" s="98">
        <v>3949.43</v>
      </c>
      <c r="AE157" s="98">
        <v>4089.6</v>
      </c>
      <c r="AF157" s="98">
        <v>4093.6</v>
      </c>
      <c r="AG157" s="98">
        <f t="shared" si="45"/>
        <v>144.17000000000007</v>
      </c>
      <c r="AH157" s="99">
        <v>797.2</v>
      </c>
      <c r="AI157" s="100">
        <f t="shared" si="46"/>
        <v>3263417.92</v>
      </c>
      <c r="AJ157" s="100">
        <f t="shared" si="64"/>
        <v>0</v>
      </c>
      <c r="AK157" s="100">
        <v>0</v>
      </c>
      <c r="AL157" s="100">
        <v>24290</v>
      </c>
      <c r="AM157" s="100">
        <v>0</v>
      </c>
      <c r="AN157" s="100">
        <v>0</v>
      </c>
      <c r="AO157" s="100">
        <v>0</v>
      </c>
      <c r="AP157" s="100">
        <f t="shared" si="60"/>
        <v>164386</v>
      </c>
      <c r="AQ157" s="101">
        <f t="shared" si="62"/>
        <v>3452094</v>
      </c>
      <c r="AR157" s="101">
        <v>0</v>
      </c>
      <c r="AS157" s="101">
        <v>0</v>
      </c>
      <c r="AT157" s="102" t="s">
        <v>33</v>
      </c>
      <c r="AU157" s="109"/>
      <c r="AV157" s="100">
        <v>2</v>
      </c>
      <c r="AW157" s="105"/>
      <c r="AX157" s="106">
        <f t="shared" si="52"/>
        <v>3.5218389681453992</v>
      </c>
      <c r="AY157" s="101">
        <f t="shared" si="53"/>
        <v>114933</v>
      </c>
      <c r="AZ157" s="107"/>
      <c r="BA157" s="94">
        <v>45417.958333333336</v>
      </c>
      <c r="BB157" s="94">
        <v>45417.961805555555</v>
      </c>
      <c r="BC157" s="94">
        <v>45418.083333333336</v>
      </c>
      <c r="BD157" s="94">
        <v>45418.166666666664</v>
      </c>
      <c r="BE157" s="95">
        <f t="shared" si="54"/>
        <v>0.20833333332848269</v>
      </c>
      <c r="BF157" s="95">
        <v>0</v>
      </c>
      <c r="BG157" s="95">
        <v>0.10416666666666667</v>
      </c>
      <c r="BH157" s="95">
        <f t="shared" si="63"/>
        <v>3.4722222189884633E-3</v>
      </c>
      <c r="BI157" s="95">
        <f t="shared" si="63"/>
        <v>0.12152777778101154</v>
      </c>
      <c r="BJ157" s="95">
        <f t="shared" si="63"/>
        <v>8.3333333328482695E-2</v>
      </c>
      <c r="BK157" s="95">
        <f t="shared" si="56"/>
        <v>0.20486111110949423</v>
      </c>
      <c r="BL157" s="95">
        <f t="shared" si="57"/>
        <v>0.10069444444282756</v>
      </c>
      <c r="BM157" s="95" t="str">
        <f t="shared" si="58"/>
        <v>00:00</v>
      </c>
      <c r="BN157" s="110"/>
    </row>
    <row r="158" spans="1:66" s="8" customFormat="1" ht="12.75" customHeight="1" x14ac:dyDescent="0.25">
      <c r="A158" s="90">
        <v>123</v>
      </c>
      <c r="B158" s="90">
        <v>21</v>
      </c>
      <c r="C158" s="90">
        <v>21</v>
      </c>
      <c r="D158" s="90" t="s">
        <v>113</v>
      </c>
      <c r="E158" s="91" t="s">
        <v>204</v>
      </c>
      <c r="F158" s="90" t="s">
        <v>32</v>
      </c>
      <c r="G158" s="90" t="s">
        <v>15</v>
      </c>
      <c r="H158" s="90" t="s">
        <v>135</v>
      </c>
      <c r="I158" s="92" t="s">
        <v>281</v>
      </c>
      <c r="J158" s="93">
        <v>45417</v>
      </c>
      <c r="K158" s="92" t="s">
        <v>117</v>
      </c>
      <c r="L158" s="92">
        <v>261005724</v>
      </c>
      <c r="M158" s="93">
        <v>45418</v>
      </c>
      <c r="N158" s="94">
        <v>45418.302083333336</v>
      </c>
      <c r="O158" s="94">
        <v>45418.302083333336</v>
      </c>
      <c r="P158" s="94">
        <v>45418.309027777781</v>
      </c>
      <c r="Q158" s="94">
        <v>45418.510416666664</v>
      </c>
      <c r="R158" s="114" t="s">
        <v>118</v>
      </c>
      <c r="S158" s="114" t="s">
        <v>118</v>
      </c>
      <c r="T158" s="114">
        <v>45418.520833333336</v>
      </c>
      <c r="U158" s="114">
        <v>45418.677083333336</v>
      </c>
      <c r="V158" s="95">
        <f t="shared" si="50"/>
        <v>0.20833333332848269</v>
      </c>
      <c r="W158" s="95">
        <v>0.20833333333333334</v>
      </c>
      <c r="X158" s="95" t="str">
        <f t="shared" si="51"/>
        <v>00:00</v>
      </c>
      <c r="Y158" s="96">
        <v>0</v>
      </c>
      <c r="Z158" s="96">
        <v>59</v>
      </c>
      <c r="AA158" s="96">
        <f t="shared" si="42"/>
        <v>59</v>
      </c>
      <c r="AB158" s="97">
        <f t="shared" si="43"/>
        <v>0</v>
      </c>
      <c r="AC158" s="97">
        <f t="shared" si="44"/>
        <v>4046.3799999999997</v>
      </c>
      <c r="AD158" s="98">
        <v>4046.38</v>
      </c>
      <c r="AE158" s="98">
        <v>4120.8</v>
      </c>
      <c r="AF158" s="98">
        <v>4125.2</v>
      </c>
      <c r="AG158" s="98">
        <f t="shared" si="45"/>
        <v>78.819999999999709</v>
      </c>
      <c r="AH158" s="99">
        <v>797.2</v>
      </c>
      <c r="AI158" s="100">
        <f t="shared" si="46"/>
        <v>3288609.44</v>
      </c>
      <c r="AJ158" s="100">
        <f t="shared" si="64"/>
        <v>0</v>
      </c>
      <c r="AK158" s="100">
        <v>0</v>
      </c>
      <c r="AL158" s="100">
        <v>24290</v>
      </c>
      <c r="AM158" s="100">
        <v>0</v>
      </c>
      <c r="AN158" s="100">
        <v>0</v>
      </c>
      <c r="AO158" s="100">
        <v>0</v>
      </c>
      <c r="AP158" s="100">
        <f t="shared" si="60"/>
        <v>165645</v>
      </c>
      <c r="AQ158" s="101">
        <f t="shared" si="62"/>
        <v>3478545</v>
      </c>
      <c r="AR158" s="101">
        <v>0</v>
      </c>
      <c r="AS158" s="101">
        <v>0</v>
      </c>
      <c r="AT158" s="102" t="s">
        <v>34</v>
      </c>
      <c r="AU158" s="109"/>
      <c r="AV158" s="100">
        <v>2.5</v>
      </c>
      <c r="AW158" s="105"/>
      <c r="AX158" s="106">
        <f t="shared" si="52"/>
        <v>1.9106952390187073</v>
      </c>
      <c r="AY158" s="101">
        <f t="shared" si="53"/>
        <v>62836</v>
      </c>
      <c r="AZ158" s="107"/>
      <c r="BA158" s="94">
        <v>45418.302083333336</v>
      </c>
      <c r="BB158" s="94">
        <v>45418.309027777781</v>
      </c>
      <c r="BC158" s="94">
        <v>45418.319444444445</v>
      </c>
      <c r="BD158" s="94">
        <v>45418.482638888891</v>
      </c>
      <c r="BE158" s="95">
        <f t="shared" si="54"/>
        <v>0.18055555555474712</v>
      </c>
      <c r="BF158" s="95">
        <v>0</v>
      </c>
      <c r="BG158" s="95">
        <v>5.9722222222222225E-2</v>
      </c>
      <c r="BH158" s="95">
        <f t="shared" si="63"/>
        <v>6.9444444452528842E-3</v>
      </c>
      <c r="BI158" s="95">
        <f t="shared" si="63"/>
        <v>1.0416666664241347E-2</v>
      </c>
      <c r="BJ158" s="95">
        <f t="shared" si="63"/>
        <v>0.16319444444525288</v>
      </c>
      <c r="BK158" s="95">
        <f t="shared" si="56"/>
        <v>0.17361111110949423</v>
      </c>
      <c r="BL158" s="95">
        <f t="shared" si="57"/>
        <v>0.113888888887272</v>
      </c>
      <c r="BM158" s="95" t="str">
        <f t="shared" si="58"/>
        <v>00:00</v>
      </c>
      <c r="BN158" s="110"/>
    </row>
    <row r="159" spans="1:66" s="8" customFormat="1" ht="12.75" customHeight="1" x14ac:dyDescent="0.25">
      <c r="A159" s="90">
        <v>124</v>
      </c>
      <c r="B159" s="90">
        <v>22</v>
      </c>
      <c r="C159" s="90">
        <v>1</v>
      </c>
      <c r="D159" s="90" t="s">
        <v>148</v>
      </c>
      <c r="E159" s="91" t="s">
        <v>282</v>
      </c>
      <c r="F159" s="90" t="s">
        <v>19</v>
      </c>
      <c r="G159" s="90" t="s">
        <v>17</v>
      </c>
      <c r="H159" s="90" t="s">
        <v>150</v>
      </c>
      <c r="I159" s="92" t="s">
        <v>283</v>
      </c>
      <c r="J159" s="93">
        <v>45417</v>
      </c>
      <c r="K159" s="92" t="s">
        <v>122</v>
      </c>
      <c r="L159" s="92">
        <v>461000221</v>
      </c>
      <c r="M159" s="93">
        <v>45418</v>
      </c>
      <c r="N159" s="94">
        <v>45418.5</v>
      </c>
      <c r="O159" s="94">
        <v>45418.5</v>
      </c>
      <c r="P159" s="94">
        <v>45418.503472222219</v>
      </c>
      <c r="Q159" s="94">
        <v>45418.697916666664</v>
      </c>
      <c r="R159" s="114" t="s">
        <v>118</v>
      </c>
      <c r="S159" s="114" t="s">
        <v>118</v>
      </c>
      <c r="T159" s="114">
        <v>45418.75</v>
      </c>
      <c r="U159" s="114">
        <v>45418.82708333333</v>
      </c>
      <c r="V159" s="95">
        <f t="shared" si="50"/>
        <v>0.19791666666424135</v>
      </c>
      <c r="W159" s="95">
        <v>0.20833333333333334</v>
      </c>
      <c r="X159" s="95" t="str">
        <f t="shared" si="51"/>
        <v>00:00</v>
      </c>
      <c r="Y159" s="96">
        <v>0</v>
      </c>
      <c r="Z159" s="96">
        <v>59</v>
      </c>
      <c r="AA159" s="96">
        <f t="shared" ref="AA159:AA222" si="65">+Y159+Z159</f>
        <v>59</v>
      </c>
      <c r="AB159" s="97">
        <f t="shared" ref="AB159:AB222" si="66">+AD159/AA159*Y159</f>
        <v>0</v>
      </c>
      <c r="AC159" s="97">
        <f t="shared" ref="AC159:AC222" si="67">+AD159/AA159*Z159</f>
        <v>3984.04</v>
      </c>
      <c r="AD159" s="98">
        <v>3984.04</v>
      </c>
      <c r="AE159" s="98">
        <v>4088.6</v>
      </c>
      <c r="AF159" s="98">
        <v>4089.2</v>
      </c>
      <c r="AG159" s="98">
        <f t="shared" ref="AG159:AG222" si="68">+AF159-AD159</f>
        <v>105.15999999999985</v>
      </c>
      <c r="AH159" s="99">
        <v>672.5</v>
      </c>
      <c r="AI159" s="100">
        <f t="shared" ref="AI159:AI222" si="69">+AF159*AH159</f>
        <v>2749987</v>
      </c>
      <c r="AJ159" s="100">
        <f t="shared" si="64"/>
        <v>0</v>
      </c>
      <c r="AK159" s="100">
        <v>0</v>
      </c>
      <c r="AL159" s="100">
        <v>0</v>
      </c>
      <c r="AM159" s="100">
        <v>0</v>
      </c>
      <c r="AN159" s="100">
        <v>0</v>
      </c>
      <c r="AO159" s="100">
        <v>0</v>
      </c>
      <c r="AP159" s="100">
        <f t="shared" ref="AP159:AP180" si="70">ROUNDUP(SUM(AI159:AO159)*5%,0)</f>
        <v>137500</v>
      </c>
      <c r="AQ159" s="101">
        <f t="shared" si="62"/>
        <v>2887487</v>
      </c>
      <c r="AR159" s="101">
        <v>0</v>
      </c>
      <c r="AS159" s="101">
        <v>0</v>
      </c>
      <c r="AT159" s="102" t="s">
        <v>33</v>
      </c>
      <c r="AU159" s="109" t="s">
        <v>118</v>
      </c>
      <c r="AV159" s="100">
        <v>0</v>
      </c>
      <c r="AW159" s="105"/>
      <c r="AX159" s="106">
        <f t="shared" si="52"/>
        <v>2.5716521569011017</v>
      </c>
      <c r="AY159" s="101">
        <f t="shared" si="53"/>
        <v>70721</v>
      </c>
      <c r="AZ159" s="107"/>
      <c r="BA159" s="94">
        <v>45418.5</v>
      </c>
      <c r="BB159" s="94">
        <v>45418.503472222219</v>
      </c>
      <c r="BC159" s="94">
        <v>45418.527777777781</v>
      </c>
      <c r="BD159" s="94">
        <v>45418.660416666666</v>
      </c>
      <c r="BE159" s="95">
        <f t="shared" si="54"/>
        <v>0.16041666666569654</v>
      </c>
      <c r="BF159" s="95">
        <v>2.6388888888888889E-2</v>
      </c>
      <c r="BG159" s="95">
        <v>0</v>
      </c>
      <c r="BH159" s="95">
        <f t="shared" si="63"/>
        <v>3.4722222189884633E-3</v>
      </c>
      <c r="BI159" s="95">
        <f t="shared" si="63"/>
        <v>2.4305555562023073E-2</v>
      </c>
      <c r="BJ159" s="95">
        <f t="shared" si="63"/>
        <v>0.132638888884685</v>
      </c>
      <c r="BK159" s="95">
        <f t="shared" si="56"/>
        <v>0.15694444444670808</v>
      </c>
      <c r="BL159" s="95">
        <f t="shared" si="57"/>
        <v>0.1305555555578192</v>
      </c>
      <c r="BM159" s="95" t="str">
        <f t="shared" si="58"/>
        <v>00:00</v>
      </c>
      <c r="BN159" s="110"/>
    </row>
    <row r="160" spans="1:66" s="8" customFormat="1" ht="12.75" customHeight="1" x14ac:dyDescent="0.25">
      <c r="A160" s="90">
        <v>125</v>
      </c>
      <c r="B160" s="90">
        <v>23</v>
      </c>
      <c r="C160" s="90">
        <v>2</v>
      </c>
      <c r="D160" s="90" t="s">
        <v>148</v>
      </c>
      <c r="E160" s="91" t="s">
        <v>282</v>
      </c>
      <c r="F160" s="90" t="s">
        <v>19</v>
      </c>
      <c r="G160" s="90" t="s">
        <v>17</v>
      </c>
      <c r="H160" s="90" t="s">
        <v>150</v>
      </c>
      <c r="I160" s="92" t="s">
        <v>284</v>
      </c>
      <c r="J160" s="93">
        <v>45417</v>
      </c>
      <c r="K160" s="92" t="s">
        <v>117</v>
      </c>
      <c r="L160" s="92">
        <v>461000222</v>
      </c>
      <c r="M160" s="93">
        <v>45418</v>
      </c>
      <c r="N160" s="94">
        <v>45418.708333333336</v>
      </c>
      <c r="O160" s="94">
        <v>45418.708333333336</v>
      </c>
      <c r="P160" s="94">
        <v>45418.711805555555</v>
      </c>
      <c r="Q160" s="94">
        <v>45418.895833333336</v>
      </c>
      <c r="R160" s="114" t="s">
        <v>118</v>
      </c>
      <c r="S160" s="114" t="s">
        <v>118</v>
      </c>
      <c r="T160" s="114">
        <v>45418.923611111109</v>
      </c>
      <c r="U160" s="114">
        <v>45418.987500000003</v>
      </c>
      <c r="V160" s="95">
        <f t="shared" si="50"/>
        <v>0.1875</v>
      </c>
      <c r="W160" s="95">
        <v>0.20833333333333334</v>
      </c>
      <c r="X160" s="95" t="str">
        <f t="shared" si="51"/>
        <v>00:00</v>
      </c>
      <c r="Y160" s="96">
        <v>9</v>
      </c>
      <c r="Z160" s="96">
        <v>50</v>
      </c>
      <c r="AA160" s="96">
        <f t="shared" si="65"/>
        <v>59</v>
      </c>
      <c r="AB160" s="97">
        <f t="shared" si="66"/>
        <v>607.09881355932202</v>
      </c>
      <c r="AC160" s="97">
        <f t="shared" si="67"/>
        <v>3372.7711864406779</v>
      </c>
      <c r="AD160" s="98">
        <v>3979.87</v>
      </c>
      <c r="AE160" s="98">
        <v>4104.5</v>
      </c>
      <c r="AF160" s="98">
        <v>4106.2</v>
      </c>
      <c r="AG160" s="98">
        <f t="shared" si="68"/>
        <v>126.32999999999993</v>
      </c>
      <c r="AH160" s="99">
        <v>672.5</v>
      </c>
      <c r="AI160" s="100">
        <f t="shared" si="69"/>
        <v>2761419.5</v>
      </c>
      <c r="AJ160" s="100">
        <f>(0.4*AH160)*2</f>
        <v>538</v>
      </c>
      <c r="AK160" s="100">
        <v>0</v>
      </c>
      <c r="AL160" s="100">
        <v>0</v>
      </c>
      <c r="AM160" s="100">
        <v>0</v>
      </c>
      <c r="AN160" s="100">
        <v>0</v>
      </c>
      <c r="AO160" s="100">
        <v>0</v>
      </c>
      <c r="AP160" s="100">
        <f t="shared" si="70"/>
        <v>138098</v>
      </c>
      <c r="AQ160" s="101">
        <f t="shared" si="62"/>
        <v>2900056</v>
      </c>
      <c r="AR160" s="101">
        <v>0</v>
      </c>
      <c r="AS160" s="101">
        <v>0</v>
      </c>
      <c r="AT160" s="102" t="s">
        <v>34</v>
      </c>
      <c r="AU160" s="109" t="s">
        <v>118</v>
      </c>
      <c r="AV160" s="100">
        <v>0</v>
      </c>
      <c r="AW160" s="105"/>
      <c r="AX160" s="106">
        <f t="shared" si="52"/>
        <v>3.0765671423700729</v>
      </c>
      <c r="AY160" s="101">
        <f t="shared" si="53"/>
        <v>84957</v>
      </c>
      <c r="AZ160" s="107"/>
      <c r="BA160" s="94">
        <v>45418.708333333336</v>
      </c>
      <c r="BB160" s="94">
        <v>45418.711805555555</v>
      </c>
      <c r="BC160" s="94">
        <v>45418.732638888891</v>
      </c>
      <c r="BD160" s="94">
        <v>45418.847222222219</v>
      </c>
      <c r="BE160" s="95">
        <f t="shared" si="54"/>
        <v>0.13888888888322981</v>
      </c>
      <c r="BF160" s="95">
        <v>2.361111111111111E-2</v>
      </c>
      <c r="BG160" s="95">
        <v>0</v>
      </c>
      <c r="BH160" s="95">
        <f t="shared" si="63"/>
        <v>3.4722222189884633E-3</v>
      </c>
      <c r="BI160" s="95">
        <f t="shared" si="63"/>
        <v>2.0833333335758653E-2</v>
      </c>
      <c r="BJ160" s="95">
        <f t="shared" si="63"/>
        <v>0.11458333332848269</v>
      </c>
      <c r="BK160" s="95">
        <f t="shared" si="56"/>
        <v>0.13541666666424135</v>
      </c>
      <c r="BL160" s="95">
        <f t="shared" si="57"/>
        <v>0.11180555555313024</v>
      </c>
      <c r="BM160" s="95" t="str">
        <f t="shared" si="58"/>
        <v>00:00</v>
      </c>
      <c r="BN160" s="110"/>
    </row>
    <row r="161" spans="1:66" s="8" customFormat="1" ht="12.75" customHeight="1" x14ac:dyDescent="0.25">
      <c r="A161" s="90">
        <v>126</v>
      </c>
      <c r="B161" s="90">
        <v>24</v>
      </c>
      <c r="C161" s="90">
        <v>3</v>
      </c>
      <c r="D161" s="90" t="s">
        <v>148</v>
      </c>
      <c r="E161" s="91" t="s">
        <v>282</v>
      </c>
      <c r="F161" s="90" t="s">
        <v>19</v>
      </c>
      <c r="G161" s="90" t="s">
        <v>17</v>
      </c>
      <c r="H161" s="90" t="s">
        <v>150</v>
      </c>
      <c r="I161" s="92" t="s">
        <v>285</v>
      </c>
      <c r="J161" s="93">
        <v>45418</v>
      </c>
      <c r="K161" s="92" t="s">
        <v>122</v>
      </c>
      <c r="L161" s="92">
        <v>461000223</v>
      </c>
      <c r="M161" s="93">
        <v>45419</v>
      </c>
      <c r="N161" s="94">
        <v>45419.041666666664</v>
      </c>
      <c r="O161" s="94">
        <v>45419.041666666664</v>
      </c>
      <c r="P161" s="94">
        <v>45419.055555555555</v>
      </c>
      <c r="Q161" s="94">
        <v>45419.25</v>
      </c>
      <c r="R161" s="114" t="s">
        <v>118</v>
      </c>
      <c r="S161" s="114" t="s">
        <v>118</v>
      </c>
      <c r="T161" s="114">
        <v>45419.322916666664</v>
      </c>
      <c r="U161" s="114">
        <v>45419.40625</v>
      </c>
      <c r="V161" s="95">
        <f t="shared" si="50"/>
        <v>0.20833333333575865</v>
      </c>
      <c r="W161" s="95">
        <v>0.20833333333333334</v>
      </c>
      <c r="X161" s="95">
        <f t="shared" si="51"/>
        <v>2.4253099528692701E-12</v>
      </c>
      <c r="Y161" s="96">
        <v>0</v>
      </c>
      <c r="Z161" s="96">
        <v>58</v>
      </c>
      <c r="AA161" s="96">
        <f t="shared" si="65"/>
        <v>58</v>
      </c>
      <c r="AB161" s="97">
        <f t="shared" si="66"/>
        <v>0</v>
      </c>
      <c r="AC161" s="97">
        <f t="shared" si="67"/>
        <v>3958.5900000000006</v>
      </c>
      <c r="AD161" s="98">
        <v>3958.59</v>
      </c>
      <c r="AE161" s="98">
        <v>4030.3</v>
      </c>
      <c r="AF161" s="98">
        <v>4040.4</v>
      </c>
      <c r="AG161" s="98">
        <f t="shared" si="68"/>
        <v>81.809999999999945</v>
      </c>
      <c r="AH161" s="99">
        <v>672.5</v>
      </c>
      <c r="AI161" s="100">
        <f t="shared" si="69"/>
        <v>2717169</v>
      </c>
      <c r="AJ161" s="100">
        <f t="shared" ref="AJ161:AJ170" si="71">(0*AH161)*2</f>
        <v>0</v>
      </c>
      <c r="AK161" s="100">
        <v>0</v>
      </c>
      <c r="AL161" s="100">
        <v>24140</v>
      </c>
      <c r="AM161" s="100">
        <v>0</v>
      </c>
      <c r="AN161" s="100">
        <v>0</v>
      </c>
      <c r="AO161" s="100">
        <v>0</v>
      </c>
      <c r="AP161" s="100">
        <f t="shared" si="70"/>
        <v>137066</v>
      </c>
      <c r="AQ161" s="101">
        <f t="shared" si="62"/>
        <v>2878375</v>
      </c>
      <c r="AR161" s="101">
        <v>0</v>
      </c>
      <c r="AS161" s="101">
        <v>0</v>
      </c>
      <c r="AT161" s="102" t="s">
        <v>33</v>
      </c>
      <c r="AU161" s="109"/>
      <c r="AV161" s="100">
        <v>3</v>
      </c>
      <c r="AW161" s="105"/>
      <c r="AX161" s="106">
        <f t="shared" si="52"/>
        <v>2.0247995247995232</v>
      </c>
      <c r="AY161" s="101">
        <f t="shared" si="53"/>
        <v>55018</v>
      </c>
      <c r="AZ161" s="107"/>
      <c r="BA161" s="94">
        <v>45419.041666666664</v>
      </c>
      <c r="BB161" s="94">
        <v>45419.059027777781</v>
      </c>
      <c r="BC161" s="94">
        <v>45419.0625</v>
      </c>
      <c r="BD161" s="94">
        <v>45419.197916666664</v>
      </c>
      <c r="BE161" s="95">
        <f t="shared" si="54"/>
        <v>0.15625</v>
      </c>
      <c r="BF161" s="95">
        <v>1.5972222222222221E-2</v>
      </c>
      <c r="BG161" s="95">
        <v>3.472222222222222E-3</v>
      </c>
      <c r="BH161" s="95">
        <f t="shared" si="63"/>
        <v>1.7361111116770189E-2</v>
      </c>
      <c r="BI161" s="95">
        <f t="shared" si="63"/>
        <v>3.4722222189884633E-3</v>
      </c>
      <c r="BJ161" s="95">
        <f t="shared" si="63"/>
        <v>0.13541666666424135</v>
      </c>
      <c r="BK161" s="95">
        <f t="shared" si="56"/>
        <v>0.13888888888322981</v>
      </c>
      <c r="BL161" s="95">
        <f t="shared" si="57"/>
        <v>0.11944444443878537</v>
      </c>
      <c r="BM161" s="95" t="str">
        <f t="shared" si="58"/>
        <v>00:00</v>
      </c>
      <c r="BN161" s="110"/>
    </row>
    <row r="162" spans="1:66" s="8" customFormat="1" ht="12.75" customHeight="1" x14ac:dyDescent="0.25">
      <c r="A162" s="90">
        <v>127</v>
      </c>
      <c r="B162" s="90">
        <v>25</v>
      </c>
      <c r="C162" s="90">
        <v>22</v>
      </c>
      <c r="D162" s="90" t="s">
        <v>113</v>
      </c>
      <c r="E162" s="91" t="s">
        <v>204</v>
      </c>
      <c r="F162" s="90" t="s">
        <v>32</v>
      </c>
      <c r="G162" s="90" t="s">
        <v>15</v>
      </c>
      <c r="H162" s="90" t="s">
        <v>286</v>
      </c>
      <c r="I162" s="92" t="s">
        <v>287</v>
      </c>
      <c r="J162" s="93">
        <v>45418</v>
      </c>
      <c r="K162" s="92" t="s">
        <v>117</v>
      </c>
      <c r="L162" s="92">
        <v>262009643</v>
      </c>
      <c r="M162" s="93">
        <v>45419</v>
      </c>
      <c r="N162" s="94">
        <v>45419.145833333336</v>
      </c>
      <c r="O162" s="94">
        <v>45419.145833333336</v>
      </c>
      <c r="P162" s="94">
        <v>45419.149305555555</v>
      </c>
      <c r="Q162" s="94">
        <v>45419.354166666664</v>
      </c>
      <c r="R162" s="114" t="s">
        <v>118</v>
      </c>
      <c r="S162" s="114">
        <v>45419.510416666664</v>
      </c>
      <c r="T162" s="114">
        <v>45419.5625</v>
      </c>
      <c r="U162" s="114">
        <v>45419.684027777781</v>
      </c>
      <c r="V162" s="95">
        <f t="shared" si="50"/>
        <v>0.20833333332848269</v>
      </c>
      <c r="W162" s="95">
        <v>0.20833333333333334</v>
      </c>
      <c r="X162" s="95" t="str">
        <f t="shared" si="51"/>
        <v>00:00</v>
      </c>
      <c r="Y162" s="96">
        <v>0</v>
      </c>
      <c r="Z162" s="96">
        <v>58</v>
      </c>
      <c r="AA162" s="96">
        <f t="shared" si="65"/>
        <v>58</v>
      </c>
      <c r="AB162" s="97">
        <f t="shared" si="66"/>
        <v>0</v>
      </c>
      <c r="AC162" s="97">
        <f t="shared" si="67"/>
        <v>4014.8900000000003</v>
      </c>
      <c r="AD162" s="98">
        <v>4014.89</v>
      </c>
      <c r="AE162" s="98">
        <v>4030.8</v>
      </c>
      <c r="AF162" s="98">
        <v>4052</v>
      </c>
      <c r="AG162" s="98">
        <f t="shared" si="68"/>
        <v>37.110000000000127</v>
      </c>
      <c r="AH162" s="99">
        <v>2532.6</v>
      </c>
      <c r="AI162" s="100">
        <f t="shared" si="69"/>
        <v>10262095.199999999</v>
      </c>
      <c r="AJ162" s="100">
        <f t="shared" si="71"/>
        <v>0</v>
      </c>
      <c r="AK162" s="100">
        <v>0</v>
      </c>
      <c r="AL162" s="100">
        <v>24290</v>
      </c>
      <c r="AM162" s="100">
        <v>0</v>
      </c>
      <c r="AN162" s="100">
        <v>0</v>
      </c>
      <c r="AO162" s="100">
        <v>0</v>
      </c>
      <c r="AP162" s="100">
        <f t="shared" si="70"/>
        <v>514320</v>
      </c>
      <c r="AQ162" s="101">
        <f t="shared" si="62"/>
        <v>10800706</v>
      </c>
      <c r="AR162" s="101">
        <v>0</v>
      </c>
      <c r="AS162" s="101">
        <v>0</v>
      </c>
      <c r="AT162" s="102" t="s">
        <v>34</v>
      </c>
      <c r="AU162" s="109"/>
      <c r="AV162" s="100">
        <v>8</v>
      </c>
      <c r="AW162" s="105"/>
      <c r="AX162" s="106">
        <f t="shared" si="52"/>
        <v>0.9158440276406743</v>
      </c>
      <c r="AY162" s="101">
        <f t="shared" si="53"/>
        <v>93985</v>
      </c>
      <c r="AZ162" s="107"/>
      <c r="BA162" s="94">
        <v>45419.145833333336</v>
      </c>
      <c r="BB162" s="94">
        <v>45419.149305555555</v>
      </c>
      <c r="BC162" s="94">
        <v>45419.284722222219</v>
      </c>
      <c r="BD162" s="94">
        <v>45419.5</v>
      </c>
      <c r="BE162" s="95">
        <f t="shared" si="54"/>
        <v>0.35416666666424135</v>
      </c>
      <c r="BF162" s="95">
        <v>8.819444444444445E-2</v>
      </c>
      <c r="BG162" s="95">
        <v>0.15208333333333332</v>
      </c>
      <c r="BH162" s="95">
        <f t="shared" si="63"/>
        <v>3.4722222189884633E-3</v>
      </c>
      <c r="BI162" s="95">
        <f t="shared" si="63"/>
        <v>0.13541666666424135</v>
      </c>
      <c r="BJ162" s="95">
        <f t="shared" si="63"/>
        <v>0.21527777778101154</v>
      </c>
      <c r="BK162" s="95">
        <f t="shared" si="56"/>
        <v>0.35069444444525288</v>
      </c>
      <c r="BL162" s="95">
        <f t="shared" si="57"/>
        <v>0.1104166666674751</v>
      </c>
      <c r="BM162" s="95">
        <f t="shared" si="58"/>
        <v>0.145833333330908</v>
      </c>
      <c r="BN162" s="110"/>
    </row>
    <row r="163" spans="1:66" s="8" customFormat="1" ht="12.75" customHeight="1" x14ac:dyDescent="0.25">
      <c r="A163" s="90">
        <v>128</v>
      </c>
      <c r="B163" s="90">
        <v>26</v>
      </c>
      <c r="C163" s="90">
        <v>4</v>
      </c>
      <c r="D163" s="90" t="s">
        <v>148</v>
      </c>
      <c r="E163" s="91" t="s">
        <v>282</v>
      </c>
      <c r="F163" s="90" t="s">
        <v>19</v>
      </c>
      <c r="G163" s="90" t="s">
        <v>17</v>
      </c>
      <c r="H163" s="90" t="s">
        <v>150</v>
      </c>
      <c r="I163" s="92" t="s">
        <v>288</v>
      </c>
      <c r="J163" s="93">
        <v>45418</v>
      </c>
      <c r="K163" s="92" t="s">
        <v>122</v>
      </c>
      <c r="L163" s="92">
        <v>461000224</v>
      </c>
      <c r="M163" s="93">
        <v>45419</v>
      </c>
      <c r="N163" s="94">
        <v>45419.53125</v>
      </c>
      <c r="O163" s="94">
        <v>45419.53125</v>
      </c>
      <c r="P163" s="94">
        <v>45419.534722222219</v>
      </c>
      <c r="Q163" s="94">
        <v>45419.729166666664</v>
      </c>
      <c r="R163" s="114" t="s">
        <v>118</v>
      </c>
      <c r="S163" s="114" t="s">
        <v>118</v>
      </c>
      <c r="T163" s="114">
        <v>45419.833333333336</v>
      </c>
      <c r="U163" s="114">
        <v>45419.945138888892</v>
      </c>
      <c r="V163" s="95">
        <f t="shared" si="50"/>
        <v>0.19791666666424135</v>
      </c>
      <c r="W163" s="95">
        <v>0.20833333333333334</v>
      </c>
      <c r="X163" s="95" t="str">
        <f t="shared" si="51"/>
        <v>00:00</v>
      </c>
      <c r="Y163" s="96">
        <v>0</v>
      </c>
      <c r="Z163" s="96">
        <v>59</v>
      </c>
      <c r="AA163" s="96">
        <f t="shared" si="65"/>
        <v>59</v>
      </c>
      <c r="AB163" s="97">
        <f t="shared" si="66"/>
        <v>0</v>
      </c>
      <c r="AC163" s="97">
        <f t="shared" si="67"/>
        <v>4079.44</v>
      </c>
      <c r="AD163" s="98">
        <v>4079.44</v>
      </c>
      <c r="AE163" s="98">
        <v>4079</v>
      </c>
      <c r="AF163" s="98">
        <v>4107.6000000000004</v>
      </c>
      <c r="AG163" s="98">
        <f t="shared" si="68"/>
        <v>28.160000000000309</v>
      </c>
      <c r="AH163" s="99">
        <v>672.5</v>
      </c>
      <c r="AI163" s="100">
        <f t="shared" si="69"/>
        <v>2762361.0000000005</v>
      </c>
      <c r="AJ163" s="100">
        <f t="shared" si="71"/>
        <v>0</v>
      </c>
      <c r="AK163" s="100">
        <v>0</v>
      </c>
      <c r="AL163" s="100">
        <v>24290</v>
      </c>
      <c r="AM163" s="100">
        <v>0</v>
      </c>
      <c r="AN163" s="100">
        <v>0</v>
      </c>
      <c r="AO163" s="100">
        <v>0</v>
      </c>
      <c r="AP163" s="100">
        <f t="shared" si="70"/>
        <v>139333</v>
      </c>
      <c r="AQ163" s="101">
        <f t="shared" si="62"/>
        <v>2925984</v>
      </c>
      <c r="AR163" s="101">
        <v>0</v>
      </c>
      <c r="AS163" s="101">
        <v>0</v>
      </c>
      <c r="AT163" s="102" t="s">
        <v>33</v>
      </c>
      <c r="AU163" s="109"/>
      <c r="AV163" s="100">
        <v>12.5</v>
      </c>
      <c r="AW163" s="105"/>
      <c r="AX163" s="106">
        <f t="shared" si="52"/>
        <v>0.68555847696952743</v>
      </c>
      <c r="AY163" s="101">
        <f t="shared" si="53"/>
        <v>18938</v>
      </c>
      <c r="AZ163" s="107"/>
      <c r="BA163" s="94">
        <v>45419.53125</v>
      </c>
      <c r="BB163" s="94">
        <v>45419.534722222219</v>
      </c>
      <c r="BC163" s="94">
        <v>45419.534722222219</v>
      </c>
      <c r="BD163" s="94">
        <v>45419.679166666669</v>
      </c>
      <c r="BE163" s="95">
        <f t="shared" si="54"/>
        <v>0.14791666666860692</v>
      </c>
      <c r="BF163" s="95">
        <v>1.8749999999999999E-2</v>
      </c>
      <c r="BG163" s="95">
        <v>0</v>
      </c>
      <c r="BH163" s="95">
        <f t="shared" si="63"/>
        <v>3.4722222189884633E-3</v>
      </c>
      <c r="BI163" s="95">
        <f t="shared" si="63"/>
        <v>0</v>
      </c>
      <c r="BJ163" s="95">
        <f t="shared" si="63"/>
        <v>0.14444444444961846</v>
      </c>
      <c r="BK163" s="95">
        <f t="shared" si="56"/>
        <v>0.14444444444961846</v>
      </c>
      <c r="BL163" s="95">
        <f t="shared" si="57"/>
        <v>0.12569444444961847</v>
      </c>
      <c r="BM163" s="95" t="str">
        <f t="shared" si="58"/>
        <v>00:00</v>
      </c>
      <c r="BN163" s="110"/>
    </row>
    <row r="164" spans="1:66" s="8" customFormat="1" ht="12.75" customHeight="1" x14ac:dyDescent="0.25">
      <c r="A164" s="90">
        <v>129</v>
      </c>
      <c r="B164" s="90">
        <v>27</v>
      </c>
      <c r="C164" s="90">
        <v>22</v>
      </c>
      <c r="D164" s="90" t="s">
        <v>113</v>
      </c>
      <c r="E164" s="91" t="s">
        <v>188</v>
      </c>
      <c r="F164" s="90" t="s">
        <v>29</v>
      </c>
      <c r="G164" s="90" t="s">
        <v>15</v>
      </c>
      <c r="H164" s="90" t="s">
        <v>124</v>
      </c>
      <c r="I164" s="92" t="s">
        <v>289</v>
      </c>
      <c r="J164" s="93"/>
      <c r="K164" s="92" t="s">
        <v>117</v>
      </c>
      <c r="L164" s="92">
        <v>261005725</v>
      </c>
      <c r="M164" s="93">
        <v>45419</v>
      </c>
      <c r="N164" s="94">
        <v>45419.739583333336</v>
      </c>
      <c r="O164" s="94">
        <v>45419.739583333336</v>
      </c>
      <c r="P164" s="94">
        <v>45419.743055555555</v>
      </c>
      <c r="Q164" s="94">
        <v>45419.9375</v>
      </c>
      <c r="R164" s="114" t="s">
        <v>118</v>
      </c>
      <c r="S164" s="114" t="s">
        <v>118</v>
      </c>
      <c r="T164" s="114">
        <v>45420.125</v>
      </c>
      <c r="U164" s="114">
        <v>45420.196527777778</v>
      </c>
      <c r="V164" s="95">
        <f t="shared" si="50"/>
        <v>0.19791666666424135</v>
      </c>
      <c r="W164" s="95">
        <v>0.20833333333333334</v>
      </c>
      <c r="X164" s="95" t="str">
        <f t="shared" si="51"/>
        <v>00:00</v>
      </c>
      <c r="Y164" s="96">
        <v>0</v>
      </c>
      <c r="Z164" s="96">
        <v>59</v>
      </c>
      <c r="AA164" s="96">
        <f t="shared" si="65"/>
        <v>59</v>
      </c>
      <c r="AB164" s="97">
        <f t="shared" si="66"/>
        <v>0</v>
      </c>
      <c r="AC164" s="97">
        <f t="shared" si="67"/>
        <v>3969.34</v>
      </c>
      <c r="AD164" s="98">
        <v>3969.34</v>
      </c>
      <c r="AE164" s="98">
        <v>4116.5</v>
      </c>
      <c r="AF164" s="98">
        <v>4116.8</v>
      </c>
      <c r="AG164" s="98">
        <f t="shared" si="68"/>
        <v>147.46000000000004</v>
      </c>
      <c r="AH164" s="99">
        <v>797.2</v>
      </c>
      <c r="AI164" s="100">
        <f t="shared" si="69"/>
        <v>3281912.9600000004</v>
      </c>
      <c r="AJ164" s="100">
        <f t="shared" si="71"/>
        <v>0</v>
      </c>
      <c r="AK164" s="100">
        <v>0</v>
      </c>
      <c r="AL164" s="100">
        <v>0</v>
      </c>
      <c r="AM164" s="100">
        <v>0</v>
      </c>
      <c r="AN164" s="100">
        <v>0</v>
      </c>
      <c r="AO164" s="100">
        <v>0</v>
      </c>
      <c r="AP164" s="100">
        <f t="shared" si="70"/>
        <v>164096</v>
      </c>
      <c r="AQ164" s="101">
        <f t="shared" si="62"/>
        <v>3446009</v>
      </c>
      <c r="AR164" s="101">
        <v>0</v>
      </c>
      <c r="AS164" s="101">
        <v>0</v>
      </c>
      <c r="AT164" s="102" t="s">
        <v>34</v>
      </c>
      <c r="AU164" s="109" t="s">
        <v>118</v>
      </c>
      <c r="AV164" s="100">
        <v>0</v>
      </c>
      <c r="AW164" s="105"/>
      <c r="AX164" s="106">
        <f t="shared" si="52"/>
        <v>3.5819082782743887</v>
      </c>
      <c r="AY164" s="101">
        <f t="shared" si="53"/>
        <v>117556</v>
      </c>
      <c r="AZ164" s="107"/>
      <c r="BA164" s="94">
        <v>45419.739583333336</v>
      </c>
      <c r="BB164" s="94">
        <v>45419.743055555555</v>
      </c>
      <c r="BC164" s="94">
        <v>45419.75</v>
      </c>
      <c r="BD164" s="94">
        <v>45419.940972222219</v>
      </c>
      <c r="BE164" s="95">
        <f t="shared" si="54"/>
        <v>0.20138888888322981</v>
      </c>
      <c r="BF164" s="95">
        <v>3.472222222222222E-3</v>
      </c>
      <c r="BG164" s="95">
        <v>9.0277777777777776E-2</v>
      </c>
      <c r="BH164" s="95">
        <f t="shared" si="63"/>
        <v>3.4722222189884633E-3</v>
      </c>
      <c r="BI164" s="95">
        <f t="shared" si="63"/>
        <v>6.9444444452528842E-3</v>
      </c>
      <c r="BJ164" s="95">
        <f t="shared" si="63"/>
        <v>0.19097222221898846</v>
      </c>
      <c r="BK164" s="95">
        <f t="shared" si="56"/>
        <v>0.19791666666424135</v>
      </c>
      <c r="BL164" s="95">
        <f t="shared" si="57"/>
        <v>0.10416666666424136</v>
      </c>
      <c r="BM164" s="95" t="str">
        <f t="shared" si="58"/>
        <v>00:00</v>
      </c>
      <c r="BN164" s="110"/>
    </row>
    <row r="165" spans="1:66" s="8" customFormat="1" ht="12.75" customHeight="1" x14ac:dyDescent="0.25">
      <c r="A165" s="90">
        <v>130</v>
      </c>
      <c r="B165" s="90">
        <v>28</v>
      </c>
      <c r="C165" s="90">
        <v>7</v>
      </c>
      <c r="D165" s="90" t="s">
        <v>113</v>
      </c>
      <c r="E165" s="91" t="s">
        <v>114</v>
      </c>
      <c r="F165" s="90" t="s">
        <v>39</v>
      </c>
      <c r="G165" s="90" t="s">
        <v>12</v>
      </c>
      <c r="H165" s="90" t="s">
        <v>115</v>
      </c>
      <c r="I165" s="92" t="s">
        <v>290</v>
      </c>
      <c r="J165" s="93">
        <v>45419</v>
      </c>
      <c r="K165" s="92" t="s">
        <v>122</v>
      </c>
      <c r="L165" s="92">
        <v>282000903</v>
      </c>
      <c r="M165" s="93">
        <v>45420</v>
      </c>
      <c r="N165" s="94">
        <v>45420.104166666664</v>
      </c>
      <c r="O165" s="94">
        <v>45420.104166666664</v>
      </c>
      <c r="P165" s="94">
        <v>45420.135416666664</v>
      </c>
      <c r="Q165" s="94">
        <v>45420.3125</v>
      </c>
      <c r="R165" s="114">
        <v>45420.125</v>
      </c>
      <c r="S165" s="114">
        <v>45420.361111111109</v>
      </c>
      <c r="T165" s="114">
        <v>45420.375</v>
      </c>
      <c r="U165" s="114">
        <v>45420.527777777781</v>
      </c>
      <c r="V165" s="95">
        <f t="shared" si="50"/>
        <v>0.20833333333575865</v>
      </c>
      <c r="W165" s="95">
        <v>0.20833333333333334</v>
      </c>
      <c r="X165" s="95">
        <f t="shared" si="51"/>
        <v>2.4253099528692701E-12</v>
      </c>
      <c r="Y165" s="96">
        <v>0</v>
      </c>
      <c r="Z165" s="96">
        <v>58</v>
      </c>
      <c r="AA165" s="96">
        <f t="shared" si="65"/>
        <v>58</v>
      </c>
      <c r="AB165" s="97">
        <f t="shared" si="66"/>
        <v>0</v>
      </c>
      <c r="AC165" s="97">
        <f t="shared" si="67"/>
        <v>4033.0500000000006</v>
      </c>
      <c r="AD165" s="98">
        <v>4033.05</v>
      </c>
      <c r="AE165" s="98">
        <v>4047</v>
      </c>
      <c r="AF165" s="98">
        <v>4073.8</v>
      </c>
      <c r="AG165" s="98">
        <f t="shared" si="68"/>
        <v>40.75</v>
      </c>
      <c r="AH165" s="99">
        <v>1586.7</v>
      </c>
      <c r="AI165" s="100">
        <f t="shared" si="69"/>
        <v>6463898.4600000009</v>
      </c>
      <c r="AJ165" s="100">
        <f t="shared" si="71"/>
        <v>0</v>
      </c>
      <c r="AK165" s="100">
        <v>0</v>
      </c>
      <c r="AL165" s="100">
        <v>24140</v>
      </c>
      <c r="AM165" s="100">
        <v>0</v>
      </c>
      <c r="AN165" s="100">
        <v>0</v>
      </c>
      <c r="AO165" s="100">
        <f>IFERROR(AF165*20+(((AJ165/AH165)/2)*20),0)</f>
        <v>81476</v>
      </c>
      <c r="AP165" s="100">
        <f t="shared" si="70"/>
        <v>328476</v>
      </c>
      <c r="AQ165" s="101">
        <f t="shared" si="62"/>
        <v>6897991</v>
      </c>
      <c r="AR165" s="101">
        <v>0</v>
      </c>
      <c r="AS165" s="101">
        <v>0</v>
      </c>
      <c r="AT165" s="102" t="s">
        <v>34</v>
      </c>
      <c r="AU165" s="109"/>
      <c r="AV165" s="100">
        <v>15.5</v>
      </c>
      <c r="AW165" s="105"/>
      <c r="AX165" s="106">
        <f t="shared" si="52"/>
        <v>1.0002945652707544</v>
      </c>
      <c r="AY165" s="101">
        <f t="shared" si="53"/>
        <v>64659</v>
      </c>
      <c r="AZ165" s="107"/>
      <c r="BA165" s="94">
        <v>45420.125</v>
      </c>
      <c r="BB165" s="94">
        <v>45420.145833333336</v>
      </c>
      <c r="BC165" s="94">
        <v>45420.152777777781</v>
      </c>
      <c r="BD165" s="94">
        <v>45420.347222222219</v>
      </c>
      <c r="BE165" s="95">
        <f t="shared" si="54"/>
        <v>0.22222222221898846</v>
      </c>
      <c r="BF165" s="95">
        <v>2.0833333333333333E-3</v>
      </c>
      <c r="BG165" s="95">
        <v>5.0694444444444445E-2</v>
      </c>
      <c r="BH165" s="95">
        <f t="shared" si="63"/>
        <v>2.0833333335758653E-2</v>
      </c>
      <c r="BI165" s="95">
        <f t="shared" si="63"/>
        <v>6.9444444452528842E-3</v>
      </c>
      <c r="BJ165" s="95">
        <f t="shared" si="63"/>
        <v>0.19444444443797693</v>
      </c>
      <c r="BK165" s="95">
        <f t="shared" si="56"/>
        <v>0.20138888888322981</v>
      </c>
      <c r="BL165" s="95">
        <f t="shared" si="57"/>
        <v>0.14861111110545205</v>
      </c>
      <c r="BM165" s="95">
        <f t="shared" si="58"/>
        <v>1.3888888885655121E-2</v>
      </c>
      <c r="BN165" s="110"/>
    </row>
    <row r="166" spans="1:66" s="8" customFormat="1" ht="12.75" customHeight="1" x14ac:dyDescent="0.25">
      <c r="A166" s="90">
        <v>131</v>
      </c>
      <c r="B166" s="90">
        <v>29</v>
      </c>
      <c r="C166" s="90">
        <v>5</v>
      </c>
      <c r="D166" s="90" t="s">
        <v>148</v>
      </c>
      <c r="E166" s="91" t="s">
        <v>282</v>
      </c>
      <c r="F166" s="90" t="s">
        <v>19</v>
      </c>
      <c r="G166" s="90" t="s">
        <v>17</v>
      </c>
      <c r="H166" s="90" t="s">
        <v>150</v>
      </c>
      <c r="I166" s="92" t="s">
        <v>291</v>
      </c>
      <c r="J166" s="93">
        <v>45418</v>
      </c>
      <c r="K166" s="92" t="s">
        <v>117</v>
      </c>
      <c r="L166" s="92">
        <v>461000225</v>
      </c>
      <c r="M166" s="93">
        <v>45420</v>
      </c>
      <c r="N166" s="94">
        <v>45420.270833333336</v>
      </c>
      <c r="O166" s="94">
        <v>45420.270833333336</v>
      </c>
      <c r="P166" s="94">
        <v>45420.274305555555</v>
      </c>
      <c r="Q166" s="94">
        <v>45420.479166666664</v>
      </c>
      <c r="R166" s="114" t="s">
        <v>118</v>
      </c>
      <c r="S166" s="114" t="s">
        <v>118</v>
      </c>
      <c r="T166" s="114">
        <v>45420.583333333336</v>
      </c>
      <c r="U166" s="114">
        <v>45420.697916666664</v>
      </c>
      <c r="V166" s="95">
        <f t="shared" si="50"/>
        <v>0.20833333332848269</v>
      </c>
      <c r="W166" s="95">
        <v>0.20833333333333334</v>
      </c>
      <c r="X166" s="95" t="str">
        <f t="shared" si="51"/>
        <v>00:00</v>
      </c>
      <c r="Y166" s="96">
        <v>16</v>
      </c>
      <c r="Z166" s="96">
        <v>42</v>
      </c>
      <c r="AA166" s="96">
        <f t="shared" si="65"/>
        <v>58</v>
      </c>
      <c r="AB166" s="97">
        <f t="shared" si="66"/>
        <v>1104.4910344827588</v>
      </c>
      <c r="AC166" s="97">
        <f t="shared" si="67"/>
        <v>2899.2889655172416</v>
      </c>
      <c r="AD166" s="98">
        <v>4003.78</v>
      </c>
      <c r="AE166" s="98">
        <v>4027.8</v>
      </c>
      <c r="AF166" s="98">
        <v>4043.4</v>
      </c>
      <c r="AG166" s="98">
        <f t="shared" si="68"/>
        <v>39.619999999999891</v>
      </c>
      <c r="AH166" s="99">
        <v>672.5</v>
      </c>
      <c r="AI166" s="100">
        <f t="shared" si="69"/>
        <v>2719186.5</v>
      </c>
      <c r="AJ166" s="100">
        <f t="shared" si="71"/>
        <v>0</v>
      </c>
      <c r="AK166" s="100">
        <v>0</v>
      </c>
      <c r="AL166" s="100">
        <v>24140</v>
      </c>
      <c r="AM166" s="100">
        <v>0</v>
      </c>
      <c r="AN166" s="100">
        <v>0</v>
      </c>
      <c r="AO166" s="100">
        <v>0</v>
      </c>
      <c r="AP166" s="100">
        <f t="shared" si="70"/>
        <v>137167</v>
      </c>
      <c r="AQ166" s="101">
        <f t="shared" si="62"/>
        <v>2880494</v>
      </c>
      <c r="AR166" s="101">
        <v>0</v>
      </c>
      <c r="AS166" s="101">
        <v>0</v>
      </c>
      <c r="AT166" s="102" t="s">
        <v>34</v>
      </c>
      <c r="AU166" s="109"/>
      <c r="AV166" s="100">
        <v>7</v>
      </c>
      <c r="AW166" s="105"/>
      <c r="AX166" s="106">
        <f t="shared" si="52"/>
        <v>0.97986842756096082</v>
      </c>
      <c r="AY166" s="101">
        <f t="shared" si="53"/>
        <v>26645</v>
      </c>
      <c r="AZ166" s="107"/>
      <c r="BA166" s="94">
        <v>45420.270833333336</v>
      </c>
      <c r="BB166" s="94">
        <v>45420.274305555555</v>
      </c>
      <c r="BC166" s="94">
        <v>45420.378472222219</v>
      </c>
      <c r="BD166" s="94">
        <v>45420.469444444447</v>
      </c>
      <c r="BE166" s="95">
        <f t="shared" si="54"/>
        <v>0.19861111111094942</v>
      </c>
      <c r="BF166" s="95">
        <v>6.9444444444444441E-3</v>
      </c>
      <c r="BG166" s="95">
        <v>9.7222222222222224E-2</v>
      </c>
      <c r="BH166" s="95">
        <f t="shared" si="63"/>
        <v>3.4722222189884633E-3</v>
      </c>
      <c r="BI166" s="95">
        <f t="shared" si="63"/>
        <v>0.10416666666424135</v>
      </c>
      <c r="BJ166" s="95">
        <f t="shared" si="63"/>
        <v>9.0972222227719612E-2</v>
      </c>
      <c r="BK166" s="95">
        <f t="shared" si="56"/>
        <v>0.19513888889196096</v>
      </c>
      <c r="BL166" s="95">
        <f t="shared" si="57"/>
        <v>9.0972222225294289E-2</v>
      </c>
      <c r="BM166" s="95" t="str">
        <f t="shared" si="58"/>
        <v>00:00</v>
      </c>
      <c r="BN166" s="110"/>
    </row>
    <row r="167" spans="1:66" s="8" customFormat="1" ht="12.75" customHeight="1" x14ac:dyDescent="0.25">
      <c r="A167" s="90">
        <v>132</v>
      </c>
      <c r="B167" s="90">
        <v>30</v>
      </c>
      <c r="C167" s="90">
        <v>6</v>
      </c>
      <c r="D167" s="90" t="s">
        <v>148</v>
      </c>
      <c r="E167" s="91" t="s">
        <v>282</v>
      </c>
      <c r="F167" s="90" t="s">
        <v>19</v>
      </c>
      <c r="G167" s="90" t="s">
        <v>17</v>
      </c>
      <c r="H167" s="90" t="s">
        <v>150</v>
      </c>
      <c r="I167" s="92" t="s">
        <v>292</v>
      </c>
      <c r="J167" s="93">
        <v>45418</v>
      </c>
      <c r="K167" s="92" t="s">
        <v>122</v>
      </c>
      <c r="L167" s="92">
        <v>461000226</v>
      </c>
      <c r="M167" s="93">
        <v>45420</v>
      </c>
      <c r="N167" s="94">
        <v>45420.5625</v>
      </c>
      <c r="O167" s="94">
        <v>45420.5625</v>
      </c>
      <c r="P167" s="94">
        <v>45420.565972222219</v>
      </c>
      <c r="Q167" s="94">
        <v>45420.729166666664</v>
      </c>
      <c r="R167" s="114" t="s">
        <v>118</v>
      </c>
      <c r="S167" s="114" t="s">
        <v>118</v>
      </c>
      <c r="T167" s="114">
        <v>8</v>
      </c>
      <c r="U167" s="114"/>
      <c r="V167" s="95">
        <f t="shared" si="50"/>
        <v>0.16666666666424135</v>
      </c>
      <c r="W167" s="95">
        <v>0.20833333333333334</v>
      </c>
      <c r="X167" s="95" t="str">
        <f t="shared" si="51"/>
        <v>00:00</v>
      </c>
      <c r="Y167" s="96">
        <v>0</v>
      </c>
      <c r="Z167" s="96">
        <v>58</v>
      </c>
      <c r="AA167" s="96">
        <f t="shared" si="65"/>
        <v>58</v>
      </c>
      <c r="AB167" s="97">
        <f t="shared" si="66"/>
        <v>0</v>
      </c>
      <c r="AC167" s="97">
        <f t="shared" si="67"/>
        <v>4038.5599999999995</v>
      </c>
      <c r="AD167" s="98">
        <v>4038.56</v>
      </c>
      <c r="AE167" s="98">
        <v>4028.7</v>
      </c>
      <c r="AF167" s="98">
        <v>4058.8</v>
      </c>
      <c r="AG167" s="98">
        <f t="shared" si="68"/>
        <v>20.240000000000236</v>
      </c>
      <c r="AH167" s="99">
        <v>672.5</v>
      </c>
      <c r="AI167" s="100">
        <f t="shared" si="69"/>
        <v>2729543</v>
      </c>
      <c r="AJ167" s="100">
        <f t="shared" si="71"/>
        <v>0</v>
      </c>
      <c r="AK167" s="100">
        <v>0</v>
      </c>
      <c r="AL167" s="100">
        <v>39580</v>
      </c>
      <c r="AM167" s="100">
        <v>0</v>
      </c>
      <c r="AN167" s="100">
        <v>0</v>
      </c>
      <c r="AO167" s="100">
        <v>0</v>
      </c>
      <c r="AP167" s="100">
        <f t="shared" si="70"/>
        <v>138457</v>
      </c>
      <c r="AQ167" s="101">
        <f t="shared" si="62"/>
        <v>2907580</v>
      </c>
      <c r="AR167" s="101">
        <v>0</v>
      </c>
      <c r="AS167" s="101">
        <v>0</v>
      </c>
      <c r="AT167" s="102" t="s">
        <v>33</v>
      </c>
      <c r="AU167" s="109"/>
      <c r="AV167" s="100">
        <v>12</v>
      </c>
      <c r="AW167" s="105"/>
      <c r="AX167" s="106">
        <f t="shared" si="52"/>
        <v>0.49866955750468694</v>
      </c>
      <c r="AY167" s="101">
        <f t="shared" si="53"/>
        <v>13612</v>
      </c>
      <c r="AZ167" s="107"/>
      <c r="BA167" s="94">
        <v>45420.5625</v>
      </c>
      <c r="BB167" s="94">
        <v>45420.565972222219</v>
      </c>
      <c r="BC167" s="94">
        <v>45420.565972222219</v>
      </c>
      <c r="BD167" s="94">
        <v>45420.704861111109</v>
      </c>
      <c r="BE167" s="95">
        <f t="shared" si="54"/>
        <v>0.14236111110949423</v>
      </c>
      <c r="BF167" s="95">
        <v>1.1805555555555555E-2</v>
      </c>
      <c r="BG167" s="95">
        <v>0</v>
      </c>
      <c r="BH167" s="95">
        <f t="shared" si="63"/>
        <v>3.4722222189884633E-3</v>
      </c>
      <c r="BI167" s="95">
        <f t="shared" si="63"/>
        <v>0</v>
      </c>
      <c r="BJ167" s="95">
        <f t="shared" si="63"/>
        <v>0.13888888889050577</v>
      </c>
      <c r="BK167" s="95">
        <f t="shared" si="56"/>
        <v>0.13888888889050577</v>
      </c>
      <c r="BL167" s="95">
        <f t="shared" si="57"/>
        <v>0.1270833333349502</v>
      </c>
      <c r="BM167" s="95" t="str">
        <f t="shared" si="58"/>
        <v>00:00</v>
      </c>
      <c r="BN167" s="110"/>
    </row>
    <row r="168" spans="1:66" s="8" customFormat="1" ht="12.75" customHeight="1" x14ac:dyDescent="0.25">
      <c r="A168" s="90">
        <v>133</v>
      </c>
      <c r="B168" s="90">
        <v>31</v>
      </c>
      <c r="C168" s="90">
        <v>23</v>
      </c>
      <c r="D168" s="90" t="s">
        <v>113</v>
      </c>
      <c r="E168" s="91" t="s">
        <v>188</v>
      </c>
      <c r="F168" s="90" t="s">
        <v>29</v>
      </c>
      <c r="G168" s="90" t="s">
        <v>15</v>
      </c>
      <c r="H168" s="90" t="s">
        <v>124</v>
      </c>
      <c r="I168" s="92" t="s">
        <v>293</v>
      </c>
      <c r="J168" s="93"/>
      <c r="K168" s="92" t="s">
        <v>117</v>
      </c>
      <c r="L168" s="92">
        <v>241000395</v>
      </c>
      <c r="M168" s="93">
        <v>45421</v>
      </c>
      <c r="N168" s="94">
        <v>45420.739583333336</v>
      </c>
      <c r="O168" s="94">
        <v>45420.739583333336</v>
      </c>
      <c r="P168" s="94">
        <v>45420.743055555555</v>
      </c>
      <c r="Q168" s="94">
        <v>45420.927083333336</v>
      </c>
      <c r="R168" s="114" t="s">
        <v>118</v>
      </c>
      <c r="S168" s="114" t="s">
        <v>118</v>
      </c>
      <c r="T168" s="114"/>
      <c r="U168" s="114"/>
      <c r="V168" s="95">
        <f t="shared" si="50"/>
        <v>0.1875</v>
      </c>
      <c r="W168" s="95">
        <v>0.20833333333333334</v>
      </c>
      <c r="X168" s="95" t="str">
        <f t="shared" si="51"/>
        <v>00:00</v>
      </c>
      <c r="Y168" s="96">
        <v>0</v>
      </c>
      <c r="Z168" s="96">
        <v>59</v>
      </c>
      <c r="AA168" s="96">
        <f t="shared" si="65"/>
        <v>59</v>
      </c>
      <c r="AB168" s="97">
        <f t="shared" si="66"/>
        <v>0</v>
      </c>
      <c r="AC168" s="97">
        <f t="shared" si="67"/>
        <v>3954.64</v>
      </c>
      <c r="AD168" s="98">
        <v>3954.64</v>
      </c>
      <c r="AE168" s="98">
        <v>4088.6</v>
      </c>
      <c r="AF168" s="98">
        <v>4089.8</v>
      </c>
      <c r="AG168" s="98">
        <f t="shared" si="68"/>
        <v>135.16000000000031</v>
      </c>
      <c r="AH168" s="99">
        <v>797.2</v>
      </c>
      <c r="AI168" s="100">
        <f t="shared" si="69"/>
        <v>3260388.5600000005</v>
      </c>
      <c r="AJ168" s="100">
        <f t="shared" si="71"/>
        <v>0</v>
      </c>
      <c r="AK168" s="100">
        <v>0</v>
      </c>
      <c r="AL168" s="100">
        <v>0</v>
      </c>
      <c r="AM168" s="100">
        <v>0</v>
      </c>
      <c r="AN168" s="100">
        <v>0</v>
      </c>
      <c r="AO168" s="100">
        <v>0</v>
      </c>
      <c r="AP168" s="100">
        <f t="shared" si="70"/>
        <v>163020</v>
      </c>
      <c r="AQ168" s="101">
        <f t="shared" si="62"/>
        <v>3423409</v>
      </c>
      <c r="AR168" s="101">
        <v>0</v>
      </c>
      <c r="AS168" s="101">
        <v>0</v>
      </c>
      <c r="AT168" s="102" t="s">
        <v>33</v>
      </c>
      <c r="AU168" s="109" t="s">
        <v>118</v>
      </c>
      <c r="AV168" s="100">
        <v>0</v>
      </c>
      <c r="AW168" s="105"/>
      <c r="AX168" s="106">
        <f t="shared" si="52"/>
        <v>3.3048070810308645</v>
      </c>
      <c r="AY168" s="101">
        <f t="shared" si="53"/>
        <v>107750</v>
      </c>
      <c r="AZ168" s="107"/>
      <c r="BA168" s="94">
        <v>45420.739583333336</v>
      </c>
      <c r="BB168" s="94">
        <v>45420.743055555555</v>
      </c>
      <c r="BC168" s="94">
        <v>45420.743055555555</v>
      </c>
      <c r="BD168" s="94">
        <v>45420.947916666664</v>
      </c>
      <c r="BE168" s="95">
        <f t="shared" si="54"/>
        <v>0.20833333332848269</v>
      </c>
      <c r="BF168" s="95">
        <v>3.888888888888889E-2</v>
      </c>
      <c r="BG168" s="95">
        <v>5.5555555555555552E-2</v>
      </c>
      <c r="BH168" s="95">
        <f t="shared" si="63"/>
        <v>3.4722222189884633E-3</v>
      </c>
      <c r="BI168" s="95">
        <f t="shared" si="63"/>
        <v>0</v>
      </c>
      <c r="BJ168" s="95">
        <f t="shared" si="63"/>
        <v>0.20486111110949423</v>
      </c>
      <c r="BK168" s="95">
        <f t="shared" si="56"/>
        <v>0.20486111110949423</v>
      </c>
      <c r="BL168" s="95">
        <f t="shared" si="57"/>
        <v>0.11041666666504979</v>
      </c>
      <c r="BM168" s="95" t="str">
        <f t="shared" si="58"/>
        <v>00:00</v>
      </c>
      <c r="BN168" s="110"/>
    </row>
    <row r="169" spans="1:66" s="8" customFormat="1" ht="12.75" customHeight="1" x14ac:dyDescent="0.25">
      <c r="A169" s="115">
        <v>134</v>
      </c>
      <c r="B169" s="115">
        <v>32</v>
      </c>
      <c r="C169" s="90">
        <v>23</v>
      </c>
      <c r="D169" s="90" t="s">
        <v>113</v>
      </c>
      <c r="E169" s="91" t="s">
        <v>204</v>
      </c>
      <c r="F169" s="115" t="s">
        <v>32</v>
      </c>
      <c r="G169" s="115" t="s">
        <v>15</v>
      </c>
      <c r="H169" s="115" t="s">
        <v>271</v>
      </c>
      <c r="I169" s="116" t="s">
        <v>294</v>
      </c>
      <c r="J169" s="117">
        <v>45418</v>
      </c>
      <c r="K169" s="116" t="s">
        <v>122</v>
      </c>
      <c r="L169" s="116">
        <v>262009649</v>
      </c>
      <c r="M169" s="117">
        <v>45421</v>
      </c>
      <c r="N169" s="118">
        <v>45420.979166666664</v>
      </c>
      <c r="O169" s="118">
        <v>45420.979166666664</v>
      </c>
      <c r="P169" s="118">
        <v>45420.986111111109</v>
      </c>
      <c r="Q169" s="118">
        <v>45421.1875</v>
      </c>
      <c r="R169" s="118" t="s">
        <v>118</v>
      </c>
      <c r="S169" s="118" t="s">
        <v>118</v>
      </c>
      <c r="T169" s="118"/>
      <c r="U169" s="118"/>
      <c r="V169" s="119">
        <f t="shared" si="50"/>
        <v>0.20833333333575865</v>
      </c>
      <c r="W169" s="119">
        <v>0.20833333333333334</v>
      </c>
      <c r="X169" s="119">
        <f t="shared" si="51"/>
        <v>2.4253099528692701E-12</v>
      </c>
      <c r="Y169" s="96">
        <v>0</v>
      </c>
      <c r="Z169" s="96">
        <v>27</v>
      </c>
      <c r="AA169" s="96">
        <f t="shared" si="65"/>
        <v>27</v>
      </c>
      <c r="AB169" s="97">
        <f t="shared" si="66"/>
        <v>0</v>
      </c>
      <c r="AC169" s="97">
        <f t="shared" si="67"/>
        <v>1825.2900000000002</v>
      </c>
      <c r="AD169" s="98">
        <f>4037.05-2211.76</f>
        <v>1825.29</v>
      </c>
      <c r="AE169" s="98">
        <f>4082.4-2217.5</f>
        <v>1864.9</v>
      </c>
      <c r="AF169" s="98">
        <f>4105.2-2233.9</f>
        <v>1871.2999999999997</v>
      </c>
      <c r="AG169" s="98">
        <f t="shared" si="68"/>
        <v>46.009999999999764</v>
      </c>
      <c r="AH169" s="99">
        <v>1484</v>
      </c>
      <c r="AI169" s="100">
        <f t="shared" si="69"/>
        <v>2777009.1999999997</v>
      </c>
      <c r="AJ169" s="100">
        <f t="shared" si="71"/>
        <v>0</v>
      </c>
      <c r="AK169" s="100">
        <v>0</v>
      </c>
      <c r="AL169" s="100">
        <v>24290</v>
      </c>
      <c r="AM169" s="100">
        <v>0</v>
      </c>
      <c r="AN169" s="100">
        <v>0</v>
      </c>
      <c r="AO169" s="100">
        <v>0</v>
      </c>
      <c r="AP169" s="100">
        <f t="shared" si="70"/>
        <v>140065</v>
      </c>
      <c r="AQ169" s="101">
        <f>ROUNDUP(SUM(AI169:AP169),0)-1</f>
        <v>2941364</v>
      </c>
      <c r="AR169" s="101">
        <v>0</v>
      </c>
      <c r="AS169" s="101">
        <v>0</v>
      </c>
      <c r="AT169" s="137" t="s">
        <v>34</v>
      </c>
      <c r="AU169" s="120"/>
      <c r="AV169" s="121">
        <v>22</v>
      </c>
      <c r="AW169" s="105"/>
      <c r="AX169" s="131">
        <f>IFERROR(((AG169+AG170)/(AF169+AF170))*100, "")</f>
        <v>1.660089642404746</v>
      </c>
      <c r="AY169" s="132">
        <f>ROUNDUP((AG169+AG170)*AH169,0)</f>
        <v>101135</v>
      </c>
      <c r="AZ169" s="107"/>
      <c r="BA169" s="118">
        <v>45420.979166666664</v>
      </c>
      <c r="BB169" s="118">
        <v>45420.986111111109</v>
      </c>
      <c r="BC169" s="118">
        <v>45420.993055555555</v>
      </c>
      <c r="BD169" s="118">
        <v>45421.170138888891</v>
      </c>
      <c r="BE169" s="119">
        <f t="shared" si="54"/>
        <v>0.19097222222626442</v>
      </c>
      <c r="BF169" s="119">
        <v>0</v>
      </c>
      <c r="BG169" s="119">
        <v>6.25E-2</v>
      </c>
      <c r="BH169" s="119">
        <f t="shared" si="63"/>
        <v>6.9444444452528842E-3</v>
      </c>
      <c r="BI169" s="119">
        <f t="shared" si="63"/>
        <v>6.9444444452528842E-3</v>
      </c>
      <c r="BJ169" s="119">
        <f t="shared" si="63"/>
        <v>0.17708333333575865</v>
      </c>
      <c r="BK169" s="119">
        <f t="shared" si="56"/>
        <v>0.18402777778101154</v>
      </c>
      <c r="BL169" s="119">
        <f t="shared" si="57"/>
        <v>0.12152777778101154</v>
      </c>
      <c r="BM169" s="119" t="str">
        <f t="shared" si="58"/>
        <v>00:00</v>
      </c>
      <c r="BN169" s="110" t="s">
        <v>295</v>
      </c>
    </row>
    <row r="170" spans="1:66" s="8" customFormat="1" ht="12.75" customHeight="1" x14ac:dyDescent="0.25">
      <c r="A170" s="122"/>
      <c r="B170" s="122"/>
      <c r="C170" s="90">
        <v>1</v>
      </c>
      <c r="D170" s="90" t="s">
        <v>113</v>
      </c>
      <c r="E170" s="91" t="s">
        <v>296</v>
      </c>
      <c r="F170" s="122"/>
      <c r="G170" s="122"/>
      <c r="H170" s="122"/>
      <c r="I170" s="123"/>
      <c r="J170" s="124"/>
      <c r="K170" s="123"/>
      <c r="L170" s="123"/>
      <c r="M170" s="124"/>
      <c r="N170" s="125"/>
      <c r="O170" s="125"/>
      <c r="P170" s="125"/>
      <c r="Q170" s="125"/>
      <c r="R170" s="125"/>
      <c r="S170" s="125"/>
      <c r="T170" s="125"/>
      <c r="U170" s="125"/>
      <c r="V170" s="126"/>
      <c r="W170" s="126"/>
      <c r="X170" s="126"/>
      <c r="Y170" s="96">
        <v>0</v>
      </c>
      <c r="Z170" s="96">
        <v>32</v>
      </c>
      <c r="AA170" s="96">
        <f t="shared" si="65"/>
        <v>32</v>
      </c>
      <c r="AB170" s="97">
        <f t="shared" si="66"/>
        <v>0</v>
      </c>
      <c r="AC170" s="97">
        <f t="shared" si="67"/>
        <v>2211.7600000000002</v>
      </c>
      <c r="AD170" s="98">
        <v>2211.7600000000002</v>
      </c>
      <c r="AE170" s="98">
        <v>2217.5</v>
      </c>
      <c r="AF170" s="98">
        <v>2233.9</v>
      </c>
      <c r="AG170" s="98">
        <f t="shared" si="68"/>
        <v>22.139999999999873</v>
      </c>
      <c r="AH170" s="99">
        <v>1484</v>
      </c>
      <c r="AI170" s="100">
        <f t="shared" si="69"/>
        <v>3315107.6</v>
      </c>
      <c r="AJ170" s="100">
        <f t="shared" si="71"/>
        <v>0</v>
      </c>
      <c r="AK170" s="100">
        <v>0</v>
      </c>
      <c r="AL170" s="100">
        <v>0</v>
      </c>
      <c r="AM170" s="100">
        <v>0</v>
      </c>
      <c r="AN170" s="100">
        <v>0</v>
      </c>
      <c r="AO170" s="100">
        <v>0</v>
      </c>
      <c r="AP170" s="100">
        <f t="shared" si="70"/>
        <v>165756</v>
      </c>
      <c r="AQ170" s="101">
        <f t="shared" ref="AQ170:AQ180" si="72">ROUNDUP(SUM(AI170:AP170),0)</f>
        <v>3480864</v>
      </c>
      <c r="AR170" s="101">
        <v>0</v>
      </c>
      <c r="AS170" s="101">
        <v>0</v>
      </c>
      <c r="AT170" s="138"/>
      <c r="AU170" s="127"/>
      <c r="AV170" s="128"/>
      <c r="AW170" s="105"/>
      <c r="AX170" s="133"/>
      <c r="AY170" s="134"/>
      <c r="AZ170" s="107"/>
      <c r="BA170" s="125"/>
      <c r="BB170" s="125"/>
      <c r="BC170" s="125"/>
      <c r="BD170" s="125"/>
      <c r="BE170" s="126"/>
      <c r="BF170" s="126"/>
      <c r="BG170" s="126"/>
      <c r="BH170" s="126"/>
      <c r="BI170" s="126"/>
      <c r="BJ170" s="126"/>
      <c r="BK170" s="126"/>
      <c r="BL170" s="126"/>
      <c r="BM170" s="126"/>
      <c r="BN170" s="110" t="s">
        <v>297</v>
      </c>
    </row>
    <row r="171" spans="1:66" s="8" customFormat="1" ht="12.75" customHeight="1" x14ac:dyDescent="0.25">
      <c r="A171" s="90">
        <v>135</v>
      </c>
      <c r="B171" s="90">
        <v>33</v>
      </c>
      <c r="C171" s="90">
        <v>2</v>
      </c>
      <c r="D171" s="90" t="s">
        <v>113</v>
      </c>
      <c r="E171" s="91" t="s">
        <v>296</v>
      </c>
      <c r="F171" s="90" t="s">
        <v>32</v>
      </c>
      <c r="G171" s="90" t="s">
        <v>15</v>
      </c>
      <c r="H171" s="90" t="s">
        <v>213</v>
      </c>
      <c r="I171" s="92" t="s">
        <v>298</v>
      </c>
      <c r="J171" s="93">
        <v>45330.01</v>
      </c>
      <c r="K171" s="92" t="s">
        <v>117</v>
      </c>
      <c r="L171" s="92">
        <v>242000708</v>
      </c>
      <c r="M171" s="93">
        <v>45423</v>
      </c>
      <c r="N171" s="94">
        <v>45421.166666666664</v>
      </c>
      <c r="O171" s="94">
        <v>45421.166666666664</v>
      </c>
      <c r="P171" s="94">
        <v>45421.170138888891</v>
      </c>
      <c r="Q171" s="94">
        <v>45421.364583333336</v>
      </c>
      <c r="R171" s="114" t="s">
        <v>118</v>
      </c>
      <c r="S171" s="114" t="s">
        <v>118</v>
      </c>
      <c r="T171" s="114"/>
      <c r="U171" s="114"/>
      <c r="V171" s="95">
        <f t="shared" ref="V171:V181" si="73">+Q171-O171</f>
        <v>0.19791666667151731</v>
      </c>
      <c r="W171" s="95">
        <v>0.20833333333333334</v>
      </c>
      <c r="X171" s="95" t="str">
        <f t="shared" ref="X171:X181" si="74">IF(VALUE(V171)&lt;=VALUE("05:00"),"00:00",VALUE(V171)-VALUE("05:00"))</f>
        <v>00:00</v>
      </c>
      <c r="Y171" s="96">
        <v>0</v>
      </c>
      <c r="Z171" s="96">
        <v>59</v>
      </c>
      <c r="AA171" s="96">
        <f t="shared" si="65"/>
        <v>59</v>
      </c>
      <c r="AB171" s="97">
        <f t="shared" si="66"/>
        <v>0</v>
      </c>
      <c r="AC171" s="97">
        <f t="shared" si="67"/>
        <v>4077.84</v>
      </c>
      <c r="AD171" s="98">
        <v>4077.84</v>
      </c>
      <c r="AE171" s="98">
        <v>4097.1000000000004</v>
      </c>
      <c r="AF171" s="98">
        <v>4131.6000000000004</v>
      </c>
      <c r="AG171" s="98">
        <f t="shared" si="68"/>
        <v>53.760000000000218</v>
      </c>
      <c r="AH171" s="99">
        <v>2329.4</v>
      </c>
      <c r="AI171" s="100">
        <f t="shared" si="69"/>
        <v>9624149.040000001</v>
      </c>
      <c r="AJ171" s="100">
        <v>53382.99</v>
      </c>
      <c r="AK171" s="100">
        <v>0</v>
      </c>
      <c r="AL171" s="100">
        <v>0</v>
      </c>
      <c r="AM171" s="100">
        <v>0</v>
      </c>
      <c r="AN171" s="100">
        <v>0</v>
      </c>
      <c r="AO171" s="100">
        <v>0</v>
      </c>
      <c r="AP171" s="100">
        <f t="shared" si="70"/>
        <v>483877</v>
      </c>
      <c r="AQ171" s="101">
        <f t="shared" si="72"/>
        <v>10161410</v>
      </c>
      <c r="AR171" s="101">
        <v>0</v>
      </c>
      <c r="AS171" s="101">
        <v>0</v>
      </c>
      <c r="AT171" s="102" t="s">
        <v>33</v>
      </c>
      <c r="AU171" s="109"/>
      <c r="AV171" s="100">
        <v>0</v>
      </c>
      <c r="AW171" s="105"/>
      <c r="AX171" s="106">
        <f t="shared" ref="AX171:AX180" si="75">IFERROR((AG171/AF171)*100, "")</f>
        <v>1.3011908219576003</v>
      </c>
      <c r="AY171" s="101">
        <f t="shared" ref="AY171:AY180" si="76">ROUNDUP(AG171*AH171,0)</f>
        <v>125229</v>
      </c>
      <c r="AZ171" s="107"/>
      <c r="BA171" s="94">
        <v>45421.166666666664</v>
      </c>
      <c r="BB171" s="94">
        <v>45421.170138888891</v>
      </c>
      <c r="BC171" s="94">
        <v>45421.1875</v>
      </c>
      <c r="BD171" s="94">
        <v>45421.354166666664</v>
      </c>
      <c r="BE171" s="95">
        <f t="shared" ref="BE171:BE181" si="77">+BD171-BA171</f>
        <v>0.1875</v>
      </c>
      <c r="BF171" s="95">
        <v>2.361111111111111E-2</v>
      </c>
      <c r="BG171" s="95">
        <v>4.5138888888888888E-2</v>
      </c>
      <c r="BH171" s="95">
        <f t="shared" ref="BH171:BJ181" si="78">+BB171-BA171</f>
        <v>3.4722222262644209E-3</v>
      </c>
      <c r="BI171" s="95">
        <f t="shared" si="78"/>
        <v>1.7361111109494232E-2</v>
      </c>
      <c r="BJ171" s="95">
        <f t="shared" si="78"/>
        <v>0.16666666666424135</v>
      </c>
      <c r="BK171" s="95">
        <f t="shared" ref="BK171:BK181" si="79">+BI171+BJ171</f>
        <v>0.18402777777373558</v>
      </c>
      <c r="BL171" s="95">
        <f t="shared" ref="BL171:BL181" si="80">+BE171-BH171-BF171-BG171</f>
        <v>0.11527777777373557</v>
      </c>
      <c r="BM171" s="95" t="str">
        <f t="shared" ref="BM171:BM181" si="81">IF(VALUE(BE171)&lt;=VALUE("05:00"),"00:00",VALUE(BE171)-VALUE("05:00"))</f>
        <v>00:00</v>
      </c>
      <c r="BN171" s="110"/>
    </row>
    <row r="172" spans="1:66" s="8" customFormat="1" ht="12.75" customHeight="1" x14ac:dyDescent="0.25">
      <c r="A172" s="90">
        <v>136</v>
      </c>
      <c r="B172" s="90">
        <v>34</v>
      </c>
      <c r="C172" s="90">
        <v>1</v>
      </c>
      <c r="D172" s="90" t="s">
        <v>113</v>
      </c>
      <c r="E172" s="91" t="s">
        <v>299</v>
      </c>
      <c r="F172" s="90" t="s">
        <v>7</v>
      </c>
      <c r="G172" s="90" t="s">
        <v>8</v>
      </c>
      <c r="H172" s="90" t="s">
        <v>300</v>
      </c>
      <c r="I172" s="92" t="s">
        <v>301</v>
      </c>
      <c r="J172" s="93">
        <v>45418</v>
      </c>
      <c r="K172" s="92" t="s">
        <v>122</v>
      </c>
      <c r="L172" s="92">
        <v>282000905</v>
      </c>
      <c r="M172" s="93">
        <v>45422</v>
      </c>
      <c r="N172" s="94">
        <v>45421.583333333336</v>
      </c>
      <c r="O172" s="94">
        <v>45421.583333333336</v>
      </c>
      <c r="P172" s="94">
        <v>45421.59375</v>
      </c>
      <c r="Q172" s="94">
        <v>45421.770833333336</v>
      </c>
      <c r="R172" s="114" t="s">
        <v>118</v>
      </c>
      <c r="S172" s="114" t="s">
        <v>118</v>
      </c>
      <c r="T172" s="114"/>
      <c r="U172" s="114"/>
      <c r="V172" s="95">
        <f t="shared" si="73"/>
        <v>0.1875</v>
      </c>
      <c r="W172" s="95">
        <v>0.20833333333333334</v>
      </c>
      <c r="X172" s="95" t="str">
        <f t="shared" si="74"/>
        <v>00:00</v>
      </c>
      <c r="Y172" s="96">
        <v>0</v>
      </c>
      <c r="Z172" s="96">
        <v>59</v>
      </c>
      <c r="AA172" s="96">
        <f t="shared" si="65"/>
        <v>59</v>
      </c>
      <c r="AB172" s="97">
        <f t="shared" si="66"/>
        <v>0</v>
      </c>
      <c r="AC172" s="97">
        <f t="shared" si="67"/>
        <v>4010.8899999999994</v>
      </c>
      <c r="AD172" s="98">
        <v>4010.89</v>
      </c>
      <c r="AE172" s="98">
        <v>4107.1000000000004</v>
      </c>
      <c r="AF172" s="98">
        <v>4107.2</v>
      </c>
      <c r="AG172" s="98">
        <f t="shared" si="68"/>
        <v>96.309999999999945</v>
      </c>
      <c r="AH172" s="99">
        <v>1484</v>
      </c>
      <c r="AI172" s="100">
        <f t="shared" si="69"/>
        <v>6095084.7999999998</v>
      </c>
      <c r="AJ172" s="100">
        <f>(0*AH172)*2</f>
        <v>0</v>
      </c>
      <c r="AK172" s="100">
        <v>0</v>
      </c>
      <c r="AL172" s="100">
        <v>0</v>
      </c>
      <c r="AM172" s="100">
        <v>0</v>
      </c>
      <c r="AN172" s="100">
        <v>0</v>
      </c>
      <c r="AO172" s="100">
        <v>0</v>
      </c>
      <c r="AP172" s="100">
        <f t="shared" si="70"/>
        <v>304755</v>
      </c>
      <c r="AQ172" s="101">
        <f t="shared" si="72"/>
        <v>6399840</v>
      </c>
      <c r="AR172" s="101">
        <v>0</v>
      </c>
      <c r="AS172" s="101">
        <v>0</v>
      </c>
      <c r="AT172" s="102" t="s">
        <v>33</v>
      </c>
      <c r="AU172" s="109"/>
      <c r="AV172" s="100">
        <v>0</v>
      </c>
      <c r="AW172" s="105"/>
      <c r="AX172" s="106">
        <f t="shared" si="75"/>
        <v>2.3449065056486158</v>
      </c>
      <c r="AY172" s="101">
        <f t="shared" si="76"/>
        <v>142925</v>
      </c>
      <c r="AZ172" s="107"/>
      <c r="BA172" s="94">
        <v>45421.583333333336</v>
      </c>
      <c r="BB172" s="94">
        <v>45421.59375</v>
      </c>
      <c r="BC172" s="94">
        <v>45421.630555555559</v>
      </c>
      <c r="BD172" s="94">
        <v>45421.746527777781</v>
      </c>
      <c r="BE172" s="95">
        <f t="shared" si="77"/>
        <v>0.16319444444525288</v>
      </c>
      <c r="BF172" s="95">
        <v>0</v>
      </c>
      <c r="BG172" s="95">
        <v>3.6805555555555557E-2</v>
      </c>
      <c r="BH172" s="95">
        <f t="shared" si="78"/>
        <v>1.0416666664241347E-2</v>
      </c>
      <c r="BI172" s="95">
        <f t="shared" si="78"/>
        <v>3.680555555911269E-2</v>
      </c>
      <c r="BJ172" s="95">
        <f t="shared" si="78"/>
        <v>0.11597222222189885</v>
      </c>
      <c r="BK172" s="95">
        <f t="shared" si="79"/>
        <v>0.15277777778101154</v>
      </c>
      <c r="BL172" s="95">
        <f t="shared" si="80"/>
        <v>0.11597222222545597</v>
      </c>
      <c r="BM172" s="95" t="str">
        <f t="shared" si="81"/>
        <v>00:00</v>
      </c>
      <c r="BN172" s="110"/>
    </row>
    <row r="173" spans="1:66" s="8" customFormat="1" ht="12.75" customHeight="1" x14ac:dyDescent="0.25">
      <c r="A173" s="90">
        <v>137</v>
      </c>
      <c r="B173" s="90">
        <v>35</v>
      </c>
      <c r="C173" s="90">
        <v>7</v>
      </c>
      <c r="D173" s="90" t="s">
        <v>148</v>
      </c>
      <c r="E173" s="91" t="s">
        <v>282</v>
      </c>
      <c r="F173" s="90" t="s">
        <v>19</v>
      </c>
      <c r="G173" s="90" t="s">
        <v>17</v>
      </c>
      <c r="H173" s="90" t="s">
        <v>150</v>
      </c>
      <c r="I173" s="92" t="s">
        <v>302</v>
      </c>
      <c r="J173" s="93">
        <v>45419</v>
      </c>
      <c r="K173" s="92" t="s">
        <v>117</v>
      </c>
      <c r="L173" s="92">
        <v>461000227</v>
      </c>
      <c r="M173" s="93">
        <v>45422</v>
      </c>
      <c r="N173" s="94">
        <v>45421.708333333336</v>
      </c>
      <c r="O173" s="94">
        <v>45421.708333333336</v>
      </c>
      <c r="P173" s="94">
        <v>45421.711805555555</v>
      </c>
      <c r="Q173" s="94">
        <v>45421.875</v>
      </c>
      <c r="R173" s="114" t="s">
        <v>118</v>
      </c>
      <c r="S173" s="114" t="s">
        <v>118</v>
      </c>
      <c r="T173" s="114"/>
      <c r="U173" s="114"/>
      <c r="V173" s="95">
        <f t="shared" si="73"/>
        <v>0.16666666666424135</v>
      </c>
      <c r="W173" s="95">
        <v>0.20833333333333334</v>
      </c>
      <c r="X173" s="95" t="str">
        <f t="shared" si="74"/>
        <v>00:00</v>
      </c>
      <c r="Y173" s="96">
        <v>9</v>
      </c>
      <c r="Z173" s="96">
        <v>50</v>
      </c>
      <c r="AA173" s="96">
        <f t="shared" si="65"/>
        <v>59</v>
      </c>
      <c r="AB173" s="97">
        <f t="shared" si="66"/>
        <v>614.78389830508479</v>
      </c>
      <c r="AC173" s="97">
        <f t="shared" si="67"/>
        <v>3415.4661016949158</v>
      </c>
      <c r="AD173" s="98">
        <v>4030.25</v>
      </c>
      <c r="AE173" s="98">
        <v>4095.8</v>
      </c>
      <c r="AF173" s="98">
        <v>4109.8</v>
      </c>
      <c r="AG173" s="98">
        <f t="shared" si="68"/>
        <v>79.550000000000182</v>
      </c>
      <c r="AH173" s="99">
        <v>672.5</v>
      </c>
      <c r="AI173" s="100">
        <f t="shared" si="69"/>
        <v>2763840.5</v>
      </c>
      <c r="AJ173" s="100">
        <f>(0*AH173)*2</f>
        <v>0</v>
      </c>
      <c r="AK173" s="100">
        <v>0</v>
      </c>
      <c r="AL173" s="100">
        <v>24290</v>
      </c>
      <c r="AM173" s="100">
        <v>0</v>
      </c>
      <c r="AN173" s="100">
        <v>0</v>
      </c>
      <c r="AO173" s="100">
        <v>0</v>
      </c>
      <c r="AP173" s="100">
        <f t="shared" si="70"/>
        <v>139407</v>
      </c>
      <c r="AQ173" s="101">
        <f t="shared" si="72"/>
        <v>2927538</v>
      </c>
      <c r="AR173" s="101">
        <v>0</v>
      </c>
      <c r="AS173" s="101">
        <v>0</v>
      </c>
      <c r="AT173" s="102" t="s">
        <v>34</v>
      </c>
      <c r="AU173" s="109"/>
      <c r="AV173" s="100">
        <f>19.61-11.61</f>
        <v>8</v>
      </c>
      <c r="AW173" s="105"/>
      <c r="AX173" s="106">
        <f t="shared" si="75"/>
        <v>1.9356173049783487</v>
      </c>
      <c r="AY173" s="101">
        <f t="shared" si="76"/>
        <v>53498</v>
      </c>
      <c r="AZ173" s="107"/>
      <c r="BA173" s="94">
        <v>45421.708333333336</v>
      </c>
      <c r="BB173" s="94">
        <v>45421.711805555555</v>
      </c>
      <c r="BC173" s="94">
        <v>45421.759722222225</v>
      </c>
      <c r="BD173" s="94">
        <v>45421.853472222225</v>
      </c>
      <c r="BE173" s="95">
        <f t="shared" si="77"/>
        <v>0.14513888888905058</v>
      </c>
      <c r="BF173" s="95">
        <v>0</v>
      </c>
      <c r="BG173" s="95">
        <v>4.791666666666667E-2</v>
      </c>
      <c r="BH173" s="95">
        <f t="shared" si="78"/>
        <v>3.4722222189884633E-3</v>
      </c>
      <c r="BI173" s="95">
        <f t="shared" si="78"/>
        <v>4.7916666670062114E-2</v>
      </c>
      <c r="BJ173" s="95">
        <f t="shared" si="78"/>
        <v>9.375E-2</v>
      </c>
      <c r="BK173" s="95">
        <f t="shared" si="79"/>
        <v>0.14166666667006211</v>
      </c>
      <c r="BL173" s="95">
        <f t="shared" si="80"/>
        <v>9.3750000003395451E-2</v>
      </c>
      <c r="BM173" s="95" t="str">
        <f t="shared" si="81"/>
        <v>00:00</v>
      </c>
      <c r="BN173" s="110"/>
    </row>
    <row r="174" spans="1:66" s="8" customFormat="1" ht="12.75" customHeight="1" x14ac:dyDescent="0.25">
      <c r="A174" s="90">
        <v>138</v>
      </c>
      <c r="B174" s="90">
        <v>36</v>
      </c>
      <c r="C174" s="90">
        <v>6</v>
      </c>
      <c r="D174" s="90" t="s">
        <v>113</v>
      </c>
      <c r="E174" s="91" t="s">
        <v>137</v>
      </c>
      <c r="F174" s="90" t="s">
        <v>27</v>
      </c>
      <c r="G174" s="90" t="s">
        <v>12</v>
      </c>
      <c r="H174" s="90" t="s">
        <v>115</v>
      </c>
      <c r="I174" s="92" t="s">
        <v>303</v>
      </c>
      <c r="J174" s="93">
        <v>45421</v>
      </c>
      <c r="K174" s="92" t="s">
        <v>122</v>
      </c>
      <c r="L174" s="92">
        <v>282000906</v>
      </c>
      <c r="M174" s="93">
        <v>45422</v>
      </c>
      <c r="N174" s="94">
        <v>45421.875</v>
      </c>
      <c r="O174" s="94">
        <v>45421.875</v>
      </c>
      <c r="P174" s="94">
        <v>45421.878472222219</v>
      </c>
      <c r="Q174" s="94">
        <v>45422.083333333336</v>
      </c>
      <c r="R174" s="114" t="s">
        <v>118</v>
      </c>
      <c r="S174" s="114" t="s">
        <v>118</v>
      </c>
      <c r="T174" s="114"/>
      <c r="U174" s="114"/>
      <c r="V174" s="95">
        <f t="shared" si="73"/>
        <v>0.20833333333575865</v>
      </c>
      <c r="W174" s="95">
        <v>0.20833333333333334</v>
      </c>
      <c r="X174" s="95">
        <f t="shared" si="74"/>
        <v>2.4253099528692701E-12</v>
      </c>
      <c r="Y174" s="96">
        <v>0</v>
      </c>
      <c r="Z174" s="96">
        <v>59</v>
      </c>
      <c r="AA174" s="96">
        <f t="shared" si="65"/>
        <v>59</v>
      </c>
      <c r="AB174" s="97">
        <f t="shared" si="66"/>
        <v>0</v>
      </c>
      <c r="AC174" s="97">
        <f t="shared" si="67"/>
        <v>4027.48</v>
      </c>
      <c r="AD174" s="98">
        <v>4027.48</v>
      </c>
      <c r="AE174" s="98">
        <v>4082.1</v>
      </c>
      <c r="AF174" s="98">
        <v>4098.8</v>
      </c>
      <c r="AG174" s="98">
        <f t="shared" si="68"/>
        <v>71.320000000000164</v>
      </c>
      <c r="AH174" s="99">
        <v>1586.7</v>
      </c>
      <c r="AI174" s="100">
        <f t="shared" si="69"/>
        <v>6503565.9600000009</v>
      </c>
      <c r="AJ174" s="100">
        <f>(0*AH174)*2</f>
        <v>0</v>
      </c>
      <c r="AK174" s="100">
        <v>0</v>
      </c>
      <c r="AL174" s="100">
        <v>24290</v>
      </c>
      <c r="AM174" s="100">
        <v>0</v>
      </c>
      <c r="AN174" s="100">
        <v>0</v>
      </c>
      <c r="AO174" s="100">
        <f>IFERROR(AF174*20+(((AJ174/AH174)/2)*20),0)</f>
        <v>81976</v>
      </c>
      <c r="AP174" s="100">
        <f t="shared" si="70"/>
        <v>330492</v>
      </c>
      <c r="AQ174" s="101">
        <f t="shared" si="72"/>
        <v>6940324</v>
      </c>
      <c r="AR174" s="101">
        <v>0</v>
      </c>
      <c r="AS174" s="101">
        <v>0</v>
      </c>
      <c r="AT174" s="102" t="s">
        <v>33</v>
      </c>
      <c r="AU174" s="109"/>
      <c r="AV174" s="100">
        <v>0</v>
      </c>
      <c r="AW174" s="105"/>
      <c r="AX174" s="106">
        <f t="shared" si="75"/>
        <v>1.7400214696984522</v>
      </c>
      <c r="AY174" s="101">
        <f t="shared" si="76"/>
        <v>113164</v>
      </c>
      <c r="AZ174" s="107"/>
      <c r="BA174" s="94">
        <v>45421.875</v>
      </c>
      <c r="BB174" s="94">
        <v>45421.878472222219</v>
      </c>
      <c r="BC174" s="94">
        <v>45421.893750000003</v>
      </c>
      <c r="BD174" s="94">
        <v>45422.154166666667</v>
      </c>
      <c r="BE174" s="95">
        <f t="shared" si="77"/>
        <v>0.27916666666715173</v>
      </c>
      <c r="BF174" s="95">
        <v>2.1527777777777778E-2</v>
      </c>
      <c r="BG174" s="95">
        <v>0.12638888888888888</v>
      </c>
      <c r="BH174" s="95">
        <f t="shared" si="78"/>
        <v>3.4722222189884633E-3</v>
      </c>
      <c r="BI174" s="95">
        <f t="shared" si="78"/>
        <v>1.527777778392192E-2</v>
      </c>
      <c r="BJ174" s="95">
        <f t="shared" si="78"/>
        <v>0.26041666666424135</v>
      </c>
      <c r="BK174" s="95">
        <f t="shared" si="79"/>
        <v>0.27569444444816327</v>
      </c>
      <c r="BL174" s="95">
        <f t="shared" si="80"/>
        <v>0.12777777778149663</v>
      </c>
      <c r="BM174" s="95">
        <f t="shared" si="81"/>
        <v>7.0833333333818388E-2</v>
      </c>
      <c r="BN174" s="110"/>
    </row>
    <row r="175" spans="1:66" s="8" customFormat="1" ht="12.75" customHeight="1" x14ac:dyDescent="0.25">
      <c r="A175" s="90">
        <v>139</v>
      </c>
      <c r="B175" s="90">
        <v>37</v>
      </c>
      <c r="C175" s="90">
        <v>19</v>
      </c>
      <c r="D175" s="90" t="s">
        <v>113</v>
      </c>
      <c r="E175" s="91" t="s">
        <v>156</v>
      </c>
      <c r="F175" s="90" t="s">
        <v>37</v>
      </c>
      <c r="G175" s="90" t="s">
        <v>8</v>
      </c>
      <c r="H175" s="90" t="s">
        <v>153</v>
      </c>
      <c r="I175" s="92" t="s">
        <v>304</v>
      </c>
      <c r="J175" s="93">
        <v>45420</v>
      </c>
      <c r="K175" s="92" t="s">
        <v>117</v>
      </c>
      <c r="L175" s="92">
        <v>482000344</v>
      </c>
      <c r="M175" s="93">
        <v>45422</v>
      </c>
      <c r="N175" s="94">
        <v>45422.166666666664</v>
      </c>
      <c r="O175" s="94">
        <v>45422.166666666664</v>
      </c>
      <c r="P175" s="94">
        <v>45422.1875</v>
      </c>
      <c r="Q175" s="94">
        <v>45422.375</v>
      </c>
      <c r="R175" s="114" t="s">
        <v>118</v>
      </c>
      <c r="S175" s="114">
        <v>45422.416666666664</v>
      </c>
      <c r="T175" s="114"/>
      <c r="U175" s="114"/>
      <c r="V175" s="95">
        <f t="shared" si="73"/>
        <v>0.20833333333575865</v>
      </c>
      <c r="W175" s="95">
        <v>0.20833333333333334</v>
      </c>
      <c r="X175" s="95">
        <f t="shared" si="74"/>
        <v>2.4253099528692701E-12</v>
      </c>
      <c r="Y175" s="96">
        <v>16</v>
      </c>
      <c r="Z175" s="96">
        <v>43</v>
      </c>
      <c r="AA175" s="96">
        <f t="shared" si="65"/>
        <v>59</v>
      </c>
      <c r="AB175" s="97">
        <f t="shared" si="66"/>
        <v>1095.3491525423728</v>
      </c>
      <c r="AC175" s="97">
        <f t="shared" si="67"/>
        <v>2943.7508474576271</v>
      </c>
      <c r="AD175" s="98">
        <v>4039.1</v>
      </c>
      <c r="AE175" s="98">
        <v>4096.5</v>
      </c>
      <c r="AF175" s="98">
        <v>4115.3999999999996</v>
      </c>
      <c r="AG175" s="98">
        <f t="shared" si="68"/>
        <v>76.299999999999727</v>
      </c>
      <c r="AH175" s="99">
        <v>1484</v>
      </c>
      <c r="AI175" s="100">
        <f t="shared" si="69"/>
        <v>6107253.5999999996</v>
      </c>
      <c r="AJ175" s="100">
        <f>(0*AH175)*2</f>
        <v>0</v>
      </c>
      <c r="AK175" s="100">
        <v>0</v>
      </c>
      <c r="AL175" s="100">
        <v>24290</v>
      </c>
      <c r="AM175" s="100">
        <v>0</v>
      </c>
      <c r="AN175" s="100">
        <v>0</v>
      </c>
      <c r="AO175" s="100">
        <v>0</v>
      </c>
      <c r="AP175" s="100">
        <f t="shared" si="70"/>
        <v>306578</v>
      </c>
      <c r="AQ175" s="101">
        <f t="shared" si="72"/>
        <v>6438122</v>
      </c>
      <c r="AR175" s="101">
        <v>0</v>
      </c>
      <c r="AS175" s="101">
        <v>0</v>
      </c>
      <c r="AT175" s="102" t="s">
        <v>34</v>
      </c>
      <c r="AU175" s="109"/>
      <c r="AV175" s="100">
        <v>9.5</v>
      </c>
      <c r="AW175" s="105"/>
      <c r="AX175" s="106">
        <f t="shared" si="75"/>
        <v>1.8540117607036919</v>
      </c>
      <c r="AY175" s="101">
        <f t="shared" si="76"/>
        <v>113230</v>
      </c>
      <c r="AZ175" s="107"/>
      <c r="BA175" s="94">
        <v>45422.166666666664</v>
      </c>
      <c r="BB175" s="94">
        <v>45422.1875</v>
      </c>
      <c r="BC175" s="94">
        <v>45422.208333333336</v>
      </c>
      <c r="BD175" s="94">
        <v>45422.413194444445</v>
      </c>
      <c r="BE175" s="95">
        <f t="shared" si="77"/>
        <v>0.24652777778101154</v>
      </c>
      <c r="BF175" s="95">
        <v>3.125E-2</v>
      </c>
      <c r="BG175" s="95">
        <v>0.11180555555555556</v>
      </c>
      <c r="BH175" s="95">
        <f t="shared" si="78"/>
        <v>2.0833333335758653E-2</v>
      </c>
      <c r="BI175" s="95">
        <f t="shared" si="78"/>
        <v>2.0833333335758653E-2</v>
      </c>
      <c r="BJ175" s="95">
        <f t="shared" si="78"/>
        <v>0.20486111110949423</v>
      </c>
      <c r="BK175" s="95">
        <f t="shared" si="79"/>
        <v>0.22569444444525288</v>
      </c>
      <c r="BL175" s="95">
        <f t="shared" si="80"/>
        <v>8.2638888889697323E-2</v>
      </c>
      <c r="BM175" s="95">
        <f t="shared" si="81"/>
        <v>3.8194444447678194E-2</v>
      </c>
      <c r="BN175" s="110"/>
    </row>
    <row r="176" spans="1:66" s="8" customFormat="1" ht="12.75" customHeight="1" x14ac:dyDescent="0.25">
      <c r="A176" s="90">
        <v>140</v>
      </c>
      <c r="B176" s="90">
        <v>38</v>
      </c>
      <c r="C176" s="90">
        <v>8</v>
      </c>
      <c r="D176" s="90" t="s">
        <v>148</v>
      </c>
      <c r="E176" s="91" t="s">
        <v>282</v>
      </c>
      <c r="F176" s="90" t="s">
        <v>19</v>
      </c>
      <c r="G176" s="90" t="s">
        <v>17</v>
      </c>
      <c r="H176" s="90" t="s">
        <v>150</v>
      </c>
      <c r="I176" s="92" t="s">
        <v>305</v>
      </c>
      <c r="J176" s="93">
        <v>45419</v>
      </c>
      <c r="K176" s="92" t="s">
        <v>122</v>
      </c>
      <c r="L176" s="92">
        <v>461000228</v>
      </c>
      <c r="M176" s="93">
        <v>45422</v>
      </c>
      <c r="N176" s="94">
        <v>45422.385416666664</v>
      </c>
      <c r="O176" s="94">
        <v>45422.385416666664</v>
      </c>
      <c r="P176" s="94">
        <v>45422.388888888891</v>
      </c>
      <c r="Q176" s="94">
        <v>45422.583333333336</v>
      </c>
      <c r="R176" s="114" t="s">
        <v>118</v>
      </c>
      <c r="S176" s="114">
        <v>45422.625</v>
      </c>
      <c r="T176" s="114"/>
      <c r="U176" s="114"/>
      <c r="V176" s="95">
        <f t="shared" si="73"/>
        <v>0.19791666667151731</v>
      </c>
      <c r="W176" s="95">
        <v>0.20833333333333334</v>
      </c>
      <c r="X176" s="95" t="str">
        <f t="shared" si="74"/>
        <v>00:00</v>
      </c>
      <c r="Y176" s="96">
        <v>2</v>
      </c>
      <c r="Z176" s="96">
        <v>56</v>
      </c>
      <c r="AA176" s="96">
        <f t="shared" si="65"/>
        <v>58</v>
      </c>
      <c r="AB176" s="97">
        <f t="shared" si="66"/>
        <v>136.52724137931034</v>
      </c>
      <c r="AC176" s="97">
        <f t="shared" si="67"/>
        <v>3822.7627586206895</v>
      </c>
      <c r="AD176" s="98">
        <v>3959.29</v>
      </c>
      <c r="AE176" s="98">
        <v>4037.1</v>
      </c>
      <c r="AF176" s="98">
        <v>4039.8</v>
      </c>
      <c r="AG176" s="98">
        <f t="shared" si="68"/>
        <v>80.510000000000218</v>
      </c>
      <c r="AH176" s="99">
        <v>672.5</v>
      </c>
      <c r="AI176" s="100">
        <f t="shared" si="69"/>
        <v>2716765.5</v>
      </c>
      <c r="AJ176" s="100">
        <f>(0.4*AH176)*2</f>
        <v>538</v>
      </c>
      <c r="AK176" s="100">
        <v>0</v>
      </c>
      <c r="AL176" s="100">
        <v>8700</v>
      </c>
      <c r="AM176" s="100">
        <v>0</v>
      </c>
      <c r="AN176" s="100">
        <v>0</v>
      </c>
      <c r="AO176" s="100">
        <v>0</v>
      </c>
      <c r="AP176" s="100">
        <f t="shared" si="70"/>
        <v>136301</v>
      </c>
      <c r="AQ176" s="101">
        <f t="shared" si="72"/>
        <v>2862305</v>
      </c>
      <c r="AR176" s="101">
        <v>0</v>
      </c>
      <c r="AS176" s="101">
        <v>0</v>
      </c>
      <c r="AT176" s="102" t="s">
        <v>33</v>
      </c>
      <c r="AU176" s="109" t="s">
        <v>118</v>
      </c>
      <c r="AV176" s="100">
        <v>0</v>
      </c>
      <c r="AW176" s="105"/>
      <c r="AX176" s="106">
        <f t="shared" si="75"/>
        <v>1.9929204416060256</v>
      </c>
      <c r="AY176" s="101">
        <f t="shared" si="76"/>
        <v>54143</v>
      </c>
      <c r="AZ176" s="107"/>
      <c r="BA176" s="94">
        <v>45422.385416666664</v>
      </c>
      <c r="BB176" s="94">
        <v>45422.388888888891</v>
      </c>
      <c r="BC176" s="94">
        <v>45422.4375</v>
      </c>
      <c r="BD176" s="94">
        <v>45422.583333333336</v>
      </c>
      <c r="BE176" s="95">
        <f t="shared" si="77"/>
        <v>0.19791666667151731</v>
      </c>
      <c r="BF176" s="95">
        <v>4.3749999999999997E-2</v>
      </c>
      <c r="BG176" s="95">
        <v>3.8194444444444448E-2</v>
      </c>
      <c r="BH176" s="95">
        <f t="shared" si="78"/>
        <v>3.4722222262644209E-3</v>
      </c>
      <c r="BI176" s="95">
        <f t="shared" si="78"/>
        <v>4.8611111109494232E-2</v>
      </c>
      <c r="BJ176" s="95">
        <f t="shared" si="78"/>
        <v>0.14583333333575865</v>
      </c>
      <c r="BK176" s="95">
        <f t="shared" si="79"/>
        <v>0.19444444444525288</v>
      </c>
      <c r="BL176" s="95">
        <f t="shared" si="80"/>
        <v>0.11250000000080843</v>
      </c>
      <c r="BM176" s="95" t="str">
        <f t="shared" si="81"/>
        <v>00:00</v>
      </c>
      <c r="BN176" s="110"/>
    </row>
    <row r="177" spans="1:66" s="8" customFormat="1" ht="12.75" customHeight="1" x14ac:dyDescent="0.25">
      <c r="A177" s="90">
        <v>141</v>
      </c>
      <c r="B177" s="90">
        <v>39</v>
      </c>
      <c r="C177" s="90">
        <v>9</v>
      </c>
      <c r="D177" s="90" t="s">
        <v>148</v>
      </c>
      <c r="E177" s="91" t="s">
        <v>282</v>
      </c>
      <c r="F177" s="90" t="s">
        <v>19</v>
      </c>
      <c r="G177" s="90" t="s">
        <v>17</v>
      </c>
      <c r="H177" s="90" t="s">
        <v>150</v>
      </c>
      <c r="I177" s="92" t="s">
        <v>306</v>
      </c>
      <c r="J177" s="93">
        <v>45420</v>
      </c>
      <c r="K177" s="92" t="s">
        <v>117</v>
      </c>
      <c r="L177" s="92">
        <v>461000229</v>
      </c>
      <c r="M177" s="93">
        <v>45423</v>
      </c>
      <c r="N177" s="94">
        <v>45422.729166666664</v>
      </c>
      <c r="O177" s="94">
        <v>45422.729166666664</v>
      </c>
      <c r="P177" s="94">
        <v>45422.732638888891</v>
      </c>
      <c r="Q177" s="94">
        <v>45422.895833333336</v>
      </c>
      <c r="R177" s="114" t="s">
        <v>118</v>
      </c>
      <c r="S177" s="114" t="s">
        <v>118</v>
      </c>
      <c r="T177" s="114"/>
      <c r="U177" s="114"/>
      <c r="V177" s="95">
        <f t="shared" si="73"/>
        <v>0.16666666667151731</v>
      </c>
      <c r="W177" s="95">
        <v>0.20833333333333334</v>
      </c>
      <c r="X177" s="95" t="str">
        <f t="shared" si="74"/>
        <v>00:00</v>
      </c>
      <c r="Y177" s="96">
        <v>7</v>
      </c>
      <c r="Z177" s="96">
        <v>52</v>
      </c>
      <c r="AA177" s="96">
        <f t="shared" si="65"/>
        <v>59</v>
      </c>
      <c r="AB177" s="97">
        <f t="shared" si="66"/>
        <v>481.16101694915255</v>
      </c>
      <c r="AC177" s="97">
        <f t="shared" si="67"/>
        <v>3574.3389830508472</v>
      </c>
      <c r="AD177" s="98">
        <v>4055.5</v>
      </c>
      <c r="AE177" s="98">
        <v>4099.3</v>
      </c>
      <c r="AF177" s="98">
        <v>4103.6000000000004</v>
      </c>
      <c r="AG177" s="98">
        <f t="shared" si="68"/>
        <v>48.100000000000364</v>
      </c>
      <c r="AH177" s="99">
        <v>672.5</v>
      </c>
      <c r="AI177" s="100">
        <f t="shared" si="69"/>
        <v>2759671.0000000005</v>
      </c>
      <c r="AJ177" s="100">
        <f>(0.6*AH177)*2</f>
        <v>807</v>
      </c>
      <c r="AK177" s="100">
        <v>0</v>
      </c>
      <c r="AL177" s="100">
        <v>0</v>
      </c>
      <c r="AM177" s="100">
        <v>0</v>
      </c>
      <c r="AN177" s="100">
        <v>0</v>
      </c>
      <c r="AO177" s="100">
        <v>0</v>
      </c>
      <c r="AP177" s="100">
        <f t="shared" si="70"/>
        <v>138024</v>
      </c>
      <c r="AQ177" s="101">
        <f t="shared" si="72"/>
        <v>2898502</v>
      </c>
      <c r="AR177" s="101">
        <v>0</v>
      </c>
      <c r="AS177" s="101">
        <v>0</v>
      </c>
      <c r="AT177" s="102" t="s">
        <v>33</v>
      </c>
      <c r="AU177" s="109" t="s">
        <v>118</v>
      </c>
      <c r="AV177" s="100">
        <v>0</v>
      </c>
      <c r="AW177" s="105"/>
      <c r="AX177" s="106">
        <f t="shared" si="75"/>
        <v>1.1721415342626074</v>
      </c>
      <c r="AY177" s="101">
        <f t="shared" si="76"/>
        <v>32348</v>
      </c>
      <c r="AZ177" s="107"/>
      <c r="BA177" s="94">
        <v>45422.729166666664</v>
      </c>
      <c r="BB177" s="94">
        <v>45422.732638888891</v>
      </c>
      <c r="BC177" s="94">
        <v>45422.732638888891</v>
      </c>
      <c r="BD177" s="94">
        <v>45422.847222222219</v>
      </c>
      <c r="BE177" s="95">
        <f t="shared" si="77"/>
        <v>0.11805555555474712</v>
      </c>
      <c r="BF177" s="95">
        <v>0</v>
      </c>
      <c r="BG177" s="95">
        <v>0</v>
      </c>
      <c r="BH177" s="95">
        <f t="shared" si="78"/>
        <v>3.4722222262644209E-3</v>
      </c>
      <c r="BI177" s="95">
        <f t="shared" si="78"/>
        <v>0</v>
      </c>
      <c r="BJ177" s="95">
        <f t="shared" si="78"/>
        <v>0.11458333332848269</v>
      </c>
      <c r="BK177" s="95">
        <f t="shared" si="79"/>
        <v>0.11458333332848269</v>
      </c>
      <c r="BL177" s="95">
        <f t="shared" si="80"/>
        <v>0.11458333332848269</v>
      </c>
      <c r="BM177" s="95" t="str">
        <f t="shared" si="81"/>
        <v>00:00</v>
      </c>
      <c r="BN177" s="110"/>
    </row>
    <row r="178" spans="1:66" s="8" customFormat="1" ht="12.75" customHeight="1" x14ac:dyDescent="0.25">
      <c r="A178" s="90">
        <v>142</v>
      </c>
      <c r="B178" s="90">
        <v>40</v>
      </c>
      <c r="C178" s="90">
        <v>10</v>
      </c>
      <c r="D178" s="90" t="s">
        <v>148</v>
      </c>
      <c r="E178" s="91" t="s">
        <v>282</v>
      </c>
      <c r="F178" s="90" t="s">
        <v>19</v>
      </c>
      <c r="G178" s="90" t="s">
        <v>17</v>
      </c>
      <c r="H178" s="90" t="s">
        <v>150</v>
      </c>
      <c r="I178" s="92" t="s">
        <v>307</v>
      </c>
      <c r="J178" s="93">
        <v>45420</v>
      </c>
      <c r="K178" s="92" t="s">
        <v>122</v>
      </c>
      <c r="L178" s="92">
        <v>461000230</v>
      </c>
      <c r="M178" s="93">
        <v>45423</v>
      </c>
      <c r="N178" s="94">
        <v>45422.927083333336</v>
      </c>
      <c r="O178" s="94">
        <v>45422.927083333336</v>
      </c>
      <c r="P178" s="94">
        <v>45422.9375</v>
      </c>
      <c r="Q178" s="94">
        <v>45423.072916666664</v>
      </c>
      <c r="R178" s="114" t="s">
        <v>118</v>
      </c>
      <c r="S178" s="114" t="s">
        <v>118</v>
      </c>
      <c r="T178" s="114"/>
      <c r="U178" s="114"/>
      <c r="V178" s="95">
        <f t="shared" si="73"/>
        <v>0.14583333332848269</v>
      </c>
      <c r="W178" s="95">
        <v>0.20833333333333334</v>
      </c>
      <c r="X178" s="95" t="str">
        <f t="shared" si="74"/>
        <v>00:00</v>
      </c>
      <c r="Y178" s="96">
        <v>2</v>
      </c>
      <c r="Z178" s="96">
        <v>56</v>
      </c>
      <c r="AA178" s="96">
        <f t="shared" si="65"/>
        <v>58</v>
      </c>
      <c r="AB178" s="97">
        <f t="shared" si="66"/>
        <v>138.71586206896552</v>
      </c>
      <c r="AC178" s="97">
        <f t="shared" si="67"/>
        <v>3884.0441379310346</v>
      </c>
      <c r="AD178" s="98">
        <v>4022.76</v>
      </c>
      <c r="AE178" s="98">
        <v>4033.3</v>
      </c>
      <c r="AF178" s="98">
        <v>4051.2</v>
      </c>
      <c r="AG178" s="98">
        <f t="shared" si="68"/>
        <v>28.4399999999996</v>
      </c>
      <c r="AH178" s="99">
        <v>672.5</v>
      </c>
      <c r="AI178" s="100">
        <f t="shared" si="69"/>
        <v>2724432</v>
      </c>
      <c r="AJ178" s="100">
        <f>(0*AH178)*2</f>
        <v>0</v>
      </c>
      <c r="AK178" s="100">
        <v>0</v>
      </c>
      <c r="AL178" s="100">
        <v>24140</v>
      </c>
      <c r="AM178" s="100">
        <v>0</v>
      </c>
      <c r="AN178" s="100">
        <v>0</v>
      </c>
      <c r="AO178" s="100">
        <v>0</v>
      </c>
      <c r="AP178" s="100">
        <f t="shared" si="70"/>
        <v>137429</v>
      </c>
      <c r="AQ178" s="101">
        <f t="shared" si="72"/>
        <v>2886001</v>
      </c>
      <c r="AR178" s="101">
        <v>0</v>
      </c>
      <c r="AS178" s="101">
        <v>0</v>
      </c>
      <c r="AT178" s="102" t="s">
        <v>34</v>
      </c>
      <c r="AU178" s="109"/>
      <c r="AV178" s="100">
        <v>8</v>
      </c>
      <c r="AW178" s="105"/>
      <c r="AX178" s="106">
        <f t="shared" si="75"/>
        <v>0.70201421800946884</v>
      </c>
      <c r="AY178" s="101">
        <f t="shared" si="76"/>
        <v>19126</v>
      </c>
      <c r="AZ178" s="107"/>
      <c r="BA178" s="94">
        <v>45422.927083333336</v>
      </c>
      <c r="BB178" s="94">
        <v>45422.9375</v>
      </c>
      <c r="BC178" s="94">
        <v>45422.9375</v>
      </c>
      <c r="BD178" s="94">
        <v>45423.057638888888</v>
      </c>
      <c r="BE178" s="95">
        <f t="shared" si="77"/>
        <v>0.13055555555183673</v>
      </c>
      <c r="BF178" s="95">
        <v>0</v>
      </c>
      <c r="BG178" s="95">
        <v>0</v>
      </c>
      <c r="BH178" s="95">
        <f t="shared" si="78"/>
        <v>1.0416666664241347E-2</v>
      </c>
      <c r="BI178" s="95">
        <f t="shared" si="78"/>
        <v>0</v>
      </c>
      <c r="BJ178" s="95">
        <f t="shared" si="78"/>
        <v>0.12013888888759539</v>
      </c>
      <c r="BK178" s="95">
        <f t="shared" si="79"/>
        <v>0.12013888888759539</v>
      </c>
      <c r="BL178" s="95">
        <f t="shared" si="80"/>
        <v>0.12013888888759539</v>
      </c>
      <c r="BM178" s="95" t="str">
        <f t="shared" si="81"/>
        <v>00:00</v>
      </c>
      <c r="BN178" s="110"/>
    </row>
    <row r="179" spans="1:66" s="8" customFormat="1" ht="12.75" customHeight="1" x14ac:dyDescent="0.25">
      <c r="A179" s="90">
        <v>143</v>
      </c>
      <c r="B179" s="90">
        <v>41</v>
      </c>
      <c r="C179" s="90">
        <v>3</v>
      </c>
      <c r="D179" s="90" t="s">
        <v>113</v>
      </c>
      <c r="E179" s="91" t="s">
        <v>296</v>
      </c>
      <c r="F179" s="90" t="s">
        <v>32</v>
      </c>
      <c r="G179" s="90" t="s">
        <v>15</v>
      </c>
      <c r="H179" s="90" t="s">
        <v>127</v>
      </c>
      <c r="I179" s="92" t="s">
        <v>308</v>
      </c>
      <c r="J179" s="93">
        <v>45421</v>
      </c>
      <c r="K179" s="92" t="s">
        <v>117</v>
      </c>
      <c r="L179" s="92">
        <v>262009655</v>
      </c>
      <c r="M179" s="93">
        <v>45423</v>
      </c>
      <c r="N179" s="94">
        <v>45423.125</v>
      </c>
      <c r="O179" s="94">
        <v>45423.125</v>
      </c>
      <c r="P179" s="94">
        <v>45423.149305555555</v>
      </c>
      <c r="Q179" s="94">
        <v>45423.333333333336</v>
      </c>
      <c r="R179" s="114" t="s">
        <v>118</v>
      </c>
      <c r="S179" s="114" t="s">
        <v>118</v>
      </c>
      <c r="T179" s="114"/>
      <c r="U179" s="114"/>
      <c r="V179" s="95">
        <f t="shared" si="73"/>
        <v>0.20833333333575865</v>
      </c>
      <c r="W179" s="95">
        <v>0.20833333333333334</v>
      </c>
      <c r="X179" s="95">
        <f t="shared" si="74"/>
        <v>2.4253099528692701E-12</v>
      </c>
      <c r="Y179" s="96">
        <v>0</v>
      </c>
      <c r="Z179" s="96">
        <v>58</v>
      </c>
      <c r="AA179" s="96">
        <f t="shared" si="65"/>
        <v>58</v>
      </c>
      <c r="AB179" s="97">
        <f t="shared" si="66"/>
        <v>0</v>
      </c>
      <c r="AC179" s="97">
        <f t="shared" si="67"/>
        <v>3961.09</v>
      </c>
      <c r="AD179" s="98">
        <v>3961.09</v>
      </c>
      <c r="AE179" s="98">
        <v>4039.6</v>
      </c>
      <c r="AF179" s="98">
        <v>4044.4</v>
      </c>
      <c r="AG179" s="98">
        <f t="shared" si="68"/>
        <v>83.309999999999945</v>
      </c>
      <c r="AH179" s="99">
        <v>1484</v>
      </c>
      <c r="AI179" s="100">
        <f t="shared" si="69"/>
        <v>6001889.6000000006</v>
      </c>
      <c r="AJ179" s="100">
        <f>(0.4*AH179)*2</f>
        <v>1187.2</v>
      </c>
      <c r="AK179" s="100">
        <v>0</v>
      </c>
      <c r="AL179" s="100">
        <v>0</v>
      </c>
      <c r="AM179" s="100">
        <v>0</v>
      </c>
      <c r="AN179" s="100">
        <v>0</v>
      </c>
      <c r="AO179" s="100">
        <v>0</v>
      </c>
      <c r="AP179" s="100">
        <f t="shared" si="70"/>
        <v>300154</v>
      </c>
      <c r="AQ179" s="101">
        <f t="shared" si="72"/>
        <v>6303231</v>
      </c>
      <c r="AR179" s="101">
        <v>0</v>
      </c>
      <c r="AS179" s="101">
        <v>0</v>
      </c>
      <c r="AT179" s="102" t="s">
        <v>34</v>
      </c>
      <c r="AU179" s="109" t="s">
        <v>118</v>
      </c>
      <c r="AV179" s="100">
        <v>0</v>
      </c>
      <c r="AW179" s="105"/>
      <c r="AX179" s="106">
        <f t="shared" si="75"/>
        <v>2.0598852734645421</v>
      </c>
      <c r="AY179" s="101">
        <f t="shared" si="76"/>
        <v>123633</v>
      </c>
      <c r="AZ179" s="107"/>
      <c r="BA179" s="94">
        <v>45423.145833333336</v>
      </c>
      <c r="BB179" s="94">
        <v>45423.149305555555</v>
      </c>
      <c r="BC179" s="94">
        <v>45423.149305555555</v>
      </c>
      <c r="BD179" s="94">
        <v>45423.322916666664</v>
      </c>
      <c r="BE179" s="95">
        <f t="shared" si="77"/>
        <v>0.17708333332848269</v>
      </c>
      <c r="BF179" s="95">
        <v>3.472222222222222E-3</v>
      </c>
      <c r="BG179" s="95">
        <v>4.8611111111111112E-2</v>
      </c>
      <c r="BH179" s="95">
        <f t="shared" si="78"/>
        <v>3.4722222189884633E-3</v>
      </c>
      <c r="BI179" s="95">
        <f t="shared" si="78"/>
        <v>0</v>
      </c>
      <c r="BJ179" s="95">
        <f t="shared" si="78"/>
        <v>0.17361111110949423</v>
      </c>
      <c r="BK179" s="95">
        <f t="shared" si="79"/>
        <v>0.17361111110949423</v>
      </c>
      <c r="BL179" s="95">
        <f t="shared" si="80"/>
        <v>0.12152777777616092</v>
      </c>
      <c r="BM179" s="95" t="str">
        <f t="shared" si="81"/>
        <v>00:00</v>
      </c>
      <c r="BN179" s="110"/>
    </row>
    <row r="180" spans="1:66" s="8" customFormat="1" ht="12.75" customHeight="1" x14ac:dyDescent="0.25">
      <c r="A180" s="90">
        <v>144</v>
      </c>
      <c r="B180" s="90">
        <v>42</v>
      </c>
      <c r="C180" s="90">
        <v>2</v>
      </c>
      <c r="D180" s="90" t="s">
        <v>113</v>
      </c>
      <c r="E180" s="91" t="s">
        <v>299</v>
      </c>
      <c r="F180" s="90" t="s">
        <v>7</v>
      </c>
      <c r="G180" s="90" t="s">
        <v>8</v>
      </c>
      <c r="H180" s="90" t="s">
        <v>300</v>
      </c>
      <c r="I180" s="92" t="s">
        <v>309</v>
      </c>
      <c r="J180" s="93">
        <v>45418</v>
      </c>
      <c r="K180" s="92" t="s">
        <v>122</v>
      </c>
      <c r="L180" s="92">
        <v>282000907</v>
      </c>
      <c r="M180" s="93">
        <v>45423</v>
      </c>
      <c r="N180" s="94">
        <v>45423.322916666664</v>
      </c>
      <c r="O180" s="94">
        <v>45423.322916666664</v>
      </c>
      <c r="P180" s="94">
        <v>45423.326388888891</v>
      </c>
      <c r="Q180" s="94">
        <v>45423.520833333336</v>
      </c>
      <c r="R180" s="114" t="s">
        <v>118</v>
      </c>
      <c r="S180" s="114" t="s">
        <v>118</v>
      </c>
      <c r="T180" s="114"/>
      <c r="U180" s="114"/>
      <c r="V180" s="95">
        <f t="shared" si="73"/>
        <v>0.19791666667151731</v>
      </c>
      <c r="W180" s="95">
        <v>0.20833333333333334</v>
      </c>
      <c r="X180" s="95" t="str">
        <f t="shared" si="74"/>
        <v>00:00</v>
      </c>
      <c r="Y180" s="96">
        <v>0</v>
      </c>
      <c r="Z180" s="96">
        <v>57</v>
      </c>
      <c r="AA180" s="96">
        <f t="shared" si="65"/>
        <v>57</v>
      </c>
      <c r="AB180" s="97">
        <f t="shared" si="66"/>
        <v>0</v>
      </c>
      <c r="AC180" s="97">
        <f t="shared" si="67"/>
        <v>3860.7799999999997</v>
      </c>
      <c r="AD180" s="98">
        <v>3860.78</v>
      </c>
      <c r="AE180" s="98">
        <v>3957.8</v>
      </c>
      <c r="AF180" s="98">
        <v>3958.8</v>
      </c>
      <c r="AG180" s="98">
        <f t="shared" si="68"/>
        <v>98.019999999999982</v>
      </c>
      <c r="AH180" s="99">
        <v>1484</v>
      </c>
      <c r="AI180" s="100">
        <f t="shared" si="69"/>
        <v>5874859.2000000002</v>
      </c>
      <c r="AJ180" s="100">
        <f>(0.4*AH180)*2</f>
        <v>1187.2</v>
      </c>
      <c r="AK180" s="100">
        <v>0</v>
      </c>
      <c r="AL180" s="100">
        <v>0</v>
      </c>
      <c r="AM180" s="100">
        <v>0</v>
      </c>
      <c r="AN180" s="100">
        <v>0</v>
      </c>
      <c r="AO180" s="100">
        <v>0</v>
      </c>
      <c r="AP180" s="100">
        <f t="shared" si="70"/>
        <v>293803</v>
      </c>
      <c r="AQ180" s="101">
        <f t="shared" si="72"/>
        <v>6169850</v>
      </c>
      <c r="AR180" s="101">
        <v>0</v>
      </c>
      <c r="AS180" s="101">
        <v>0</v>
      </c>
      <c r="AT180" s="102" t="s">
        <v>33</v>
      </c>
      <c r="AU180" s="109" t="s">
        <v>118</v>
      </c>
      <c r="AV180" s="100">
        <v>0</v>
      </c>
      <c r="AW180" s="105"/>
      <c r="AX180" s="106">
        <f t="shared" si="75"/>
        <v>2.476002829140143</v>
      </c>
      <c r="AY180" s="101">
        <f t="shared" si="76"/>
        <v>145462</v>
      </c>
      <c r="AZ180" s="107"/>
      <c r="BA180" s="94">
        <v>45423.322916666664</v>
      </c>
      <c r="BB180" s="94">
        <v>45423.326388888891</v>
      </c>
      <c r="BC180" s="94">
        <v>45423.326388888891</v>
      </c>
      <c r="BD180" s="94">
        <v>45423.46875</v>
      </c>
      <c r="BE180" s="95">
        <f t="shared" si="77"/>
        <v>0.14583333333575865</v>
      </c>
      <c r="BF180" s="95">
        <v>1.7361111111111112E-2</v>
      </c>
      <c r="BG180" s="95">
        <v>6.9444444444444441E-3</v>
      </c>
      <c r="BH180" s="95">
        <f t="shared" si="78"/>
        <v>3.4722222262644209E-3</v>
      </c>
      <c r="BI180" s="95">
        <f t="shared" si="78"/>
        <v>0</v>
      </c>
      <c r="BJ180" s="95">
        <f t="shared" si="78"/>
        <v>0.14236111110949423</v>
      </c>
      <c r="BK180" s="95">
        <f t="shared" si="79"/>
        <v>0.14236111110949423</v>
      </c>
      <c r="BL180" s="95">
        <f t="shared" si="80"/>
        <v>0.11805555555393868</v>
      </c>
      <c r="BM180" s="95" t="str">
        <f t="shared" si="81"/>
        <v>00:00</v>
      </c>
      <c r="BN180" s="110"/>
    </row>
    <row r="181" spans="1:66" s="8" customFormat="1" ht="12.75" customHeight="1" x14ac:dyDescent="0.25">
      <c r="A181" s="115">
        <v>145</v>
      </c>
      <c r="B181" s="115">
        <v>43</v>
      </c>
      <c r="C181" s="115">
        <v>7</v>
      </c>
      <c r="D181" s="90" t="s">
        <v>113</v>
      </c>
      <c r="E181" s="91" t="s">
        <v>137</v>
      </c>
      <c r="F181" s="115" t="s">
        <v>27</v>
      </c>
      <c r="G181" s="115" t="s">
        <v>12</v>
      </c>
      <c r="H181" s="115" t="s">
        <v>115</v>
      </c>
      <c r="I181" s="116" t="s">
        <v>310</v>
      </c>
      <c r="J181" s="117">
        <v>45421</v>
      </c>
      <c r="K181" s="116" t="s">
        <v>117</v>
      </c>
      <c r="L181" s="116">
        <v>282000908</v>
      </c>
      <c r="M181" s="117">
        <v>45424</v>
      </c>
      <c r="N181" s="118">
        <v>45423.697916666664</v>
      </c>
      <c r="O181" s="118">
        <v>45423.697916666664</v>
      </c>
      <c r="P181" s="118">
        <v>45423.708333333336</v>
      </c>
      <c r="Q181" s="118">
        <v>45423.90625</v>
      </c>
      <c r="R181" s="114" t="s">
        <v>118</v>
      </c>
      <c r="S181" s="114" t="s">
        <v>118</v>
      </c>
      <c r="T181" s="114"/>
      <c r="U181" s="114"/>
      <c r="V181" s="119">
        <f t="shared" si="73"/>
        <v>0.20833333333575865</v>
      </c>
      <c r="W181" s="119">
        <v>0.20833333333333334</v>
      </c>
      <c r="X181" s="119">
        <f t="shared" si="74"/>
        <v>2.4253099528692701E-12</v>
      </c>
      <c r="Y181" s="96">
        <v>0</v>
      </c>
      <c r="Z181" s="96">
        <v>43</v>
      </c>
      <c r="AA181" s="96">
        <f t="shared" si="65"/>
        <v>43</v>
      </c>
      <c r="AB181" s="97">
        <f t="shared" si="66"/>
        <v>0</v>
      </c>
      <c r="AC181" s="97">
        <f t="shared" si="67"/>
        <v>2945.77</v>
      </c>
      <c r="AD181" s="98">
        <v>2945.77</v>
      </c>
      <c r="AE181" s="98">
        <f>3961.2-975.6</f>
        <v>2985.6</v>
      </c>
      <c r="AF181" s="98">
        <f>3969.8-978.53</f>
        <v>2991.2700000000004</v>
      </c>
      <c r="AG181" s="98">
        <f t="shared" si="68"/>
        <v>45.500000000000455</v>
      </c>
      <c r="AH181" s="99">
        <v>1586.7</v>
      </c>
      <c r="AI181" s="100">
        <f t="shared" si="69"/>
        <v>4746248.1090000011</v>
      </c>
      <c r="AJ181" s="100">
        <f>(0*AH181)*2</f>
        <v>0</v>
      </c>
      <c r="AK181" s="100">
        <v>0</v>
      </c>
      <c r="AL181" s="100">
        <v>23990</v>
      </c>
      <c r="AM181" s="100">
        <v>0</v>
      </c>
      <c r="AN181" s="100">
        <v>0</v>
      </c>
      <c r="AO181" s="100">
        <f>IFERROR(AF181*20+(((AJ181/AH181)/2)*20),0)</f>
        <v>59825.400000000009</v>
      </c>
      <c r="AP181" s="100">
        <f>ROUNDUP(SUM(AI181:AO181)*5%,0)-1</f>
        <v>241503</v>
      </c>
      <c r="AQ181" s="101">
        <f>ROUNDUP(SUM(AI181:AP181),0)-1</f>
        <v>5071566</v>
      </c>
      <c r="AR181" s="101">
        <v>0</v>
      </c>
      <c r="AS181" s="101">
        <v>0</v>
      </c>
      <c r="AT181" s="137" t="s">
        <v>34</v>
      </c>
      <c r="AU181" s="109"/>
      <c r="AV181" s="100">
        <v>3</v>
      </c>
      <c r="AW181" s="139"/>
      <c r="AX181" s="140">
        <f>IFERROR(((AG181+AG182)/(AF181+AF182))*100, "")</f>
        <v>1.5507078442239004</v>
      </c>
      <c r="AY181" s="141">
        <f>ROUNDUP((AG181+AG182)*AH181,0)</f>
        <v>97678</v>
      </c>
      <c r="AZ181" s="142"/>
      <c r="BA181" s="118">
        <v>45423.697916666664</v>
      </c>
      <c r="BB181" s="118">
        <v>45423.708333333336</v>
      </c>
      <c r="BC181" s="118">
        <v>45423.743055555555</v>
      </c>
      <c r="BD181" s="118">
        <v>45423.925694444442</v>
      </c>
      <c r="BE181" s="119">
        <f t="shared" si="77"/>
        <v>0.22777777777810115</v>
      </c>
      <c r="BF181" s="119">
        <v>2.4305555555555556E-2</v>
      </c>
      <c r="BG181" s="119">
        <v>0.10972222222222222</v>
      </c>
      <c r="BH181" s="119">
        <f t="shared" si="78"/>
        <v>1.0416666671517305E-2</v>
      </c>
      <c r="BI181" s="119">
        <f t="shared" si="78"/>
        <v>3.4722222218988463E-2</v>
      </c>
      <c r="BJ181" s="119">
        <f t="shared" si="78"/>
        <v>0.18263888888759539</v>
      </c>
      <c r="BK181" s="119">
        <f t="shared" si="79"/>
        <v>0.21736111110658385</v>
      </c>
      <c r="BL181" s="119">
        <f t="shared" si="80"/>
        <v>8.3333333328806075E-2</v>
      </c>
      <c r="BM181" s="119">
        <f t="shared" si="81"/>
        <v>1.9444444444767811E-2</v>
      </c>
      <c r="BN181" s="110" t="s">
        <v>311</v>
      </c>
    </row>
    <row r="182" spans="1:66" s="8" customFormat="1" ht="12.75" customHeight="1" x14ac:dyDescent="0.25">
      <c r="A182" s="122"/>
      <c r="B182" s="122"/>
      <c r="C182" s="122"/>
      <c r="D182" s="90" t="s">
        <v>113</v>
      </c>
      <c r="E182" s="91" t="s">
        <v>173</v>
      </c>
      <c r="F182" s="122"/>
      <c r="G182" s="122"/>
      <c r="H182" s="122"/>
      <c r="I182" s="123"/>
      <c r="J182" s="124"/>
      <c r="K182" s="123"/>
      <c r="L182" s="123"/>
      <c r="M182" s="124"/>
      <c r="N182" s="125"/>
      <c r="O182" s="125"/>
      <c r="P182" s="125"/>
      <c r="Q182" s="125"/>
      <c r="R182" s="114" t="s">
        <v>118</v>
      </c>
      <c r="S182" s="114" t="s">
        <v>118</v>
      </c>
      <c r="T182" s="114"/>
      <c r="U182" s="114"/>
      <c r="V182" s="126"/>
      <c r="W182" s="126"/>
      <c r="X182" s="126"/>
      <c r="Y182" s="96">
        <v>0</v>
      </c>
      <c r="Z182" s="96">
        <v>14</v>
      </c>
      <c r="AA182" s="96">
        <f t="shared" si="65"/>
        <v>14</v>
      </c>
      <c r="AB182" s="97">
        <f t="shared" si="66"/>
        <v>0</v>
      </c>
      <c r="AC182" s="97">
        <f t="shared" si="67"/>
        <v>962.47</v>
      </c>
      <c r="AD182" s="98">
        <v>962.47</v>
      </c>
      <c r="AE182" s="98">
        <v>975.6</v>
      </c>
      <c r="AF182" s="98">
        <v>978.53</v>
      </c>
      <c r="AG182" s="98">
        <f t="shared" si="68"/>
        <v>16.059999999999945</v>
      </c>
      <c r="AH182" s="99">
        <v>1586.7</v>
      </c>
      <c r="AI182" s="100">
        <f t="shared" si="69"/>
        <v>1552633.551</v>
      </c>
      <c r="AJ182" s="100">
        <f>(0*AH182)*2</f>
        <v>0</v>
      </c>
      <c r="AK182" s="100"/>
      <c r="AL182" s="100">
        <v>0</v>
      </c>
      <c r="AM182" s="100">
        <v>0</v>
      </c>
      <c r="AN182" s="100">
        <v>0</v>
      </c>
      <c r="AO182" s="100">
        <f>IFERROR(AF182*20+(((AJ182/AH182)/2)*20),0)</f>
        <v>19570.599999999999</v>
      </c>
      <c r="AP182" s="100">
        <f t="shared" ref="AP182:AP213" si="82">ROUNDUP(SUM(AI182:AO182)*5%,0)</f>
        <v>78611</v>
      </c>
      <c r="AQ182" s="101">
        <f t="shared" ref="AQ182:AQ205" si="83">ROUNDUP(SUM(AI182:AP182),0)</f>
        <v>1650816</v>
      </c>
      <c r="AR182" s="101">
        <v>0</v>
      </c>
      <c r="AS182" s="101">
        <v>0</v>
      </c>
      <c r="AT182" s="138"/>
      <c r="AU182" s="109"/>
      <c r="AV182" s="100"/>
      <c r="AW182" s="143"/>
      <c r="AX182" s="144"/>
      <c r="AY182" s="145"/>
      <c r="AZ182" s="146"/>
      <c r="BA182" s="125"/>
      <c r="BB182" s="125"/>
      <c r="BC182" s="125"/>
      <c r="BD182" s="125"/>
      <c r="BE182" s="126"/>
      <c r="BF182" s="126"/>
      <c r="BG182" s="126"/>
      <c r="BH182" s="126"/>
      <c r="BI182" s="126"/>
      <c r="BJ182" s="126"/>
      <c r="BK182" s="126"/>
      <c r="BL182" s="126"/>
      <c r="BM182" s="126"/>
      <c r="BN182" s="110" t="s">
        <v>312</v>
      </c>
    </row>
    <row r="183" spans="1:66" s="8" customFormat="1" ht="12.75" customHeight="1" x14ac:dyDescent="0.25">
      <c r="A183" s="90">
        <v>146</v>
      </c>
      <c r="B183" s="90">
        <v>44</v>
      </c>
      <c r="C183" s="90">
        <v>1</v>
      </c>
      <c r="D183" s="90" t="s">
        <v>113</v>
      </c>
      <c r="E183" s="91" t="s">
        <v>313</v>
      </c>
      <c r="F183" s="90" t="s">
        <v>11</v>
      </c>
      <c r="G183" s="90" t="s">
        <v>12</v>
      </c>
      <c r="H183" s="90" t="s">
        <v>115</v>
      </c>
      <c r="I183" s="92" t="s">
        <v>314</v>
      </c>
      <c r="J183" s="93">
        <v>45423</v>
      </c>
      <c r="K183" s="92" t="s">
        <v>122</v>
      </c>
      <c r="L183" s="92">
        <v>282000909</v>
      </c>
      <c r="M183" s="93">
        <v>45424</v>
      </c>
      <c r="N183" s="94">
        <v>45423.979166666664</v>
      </c>
      <c r="O183" s="94">
        <v>45423.979166666664</v>
      </c>
      <c r="P183" s="94">
        <v>45424.006944444445</v>
      </c>
      <c r="Q183" s="94">
        <v>45424.1875</v>
      </c>
      <c r="R183" s="114" t="s">
        <v>118</v>
      </c>
      <c r="S183" s="114">
        <v>45424.291666666664</v>
      </c>
      <c r="T183" s="114"/>
      <c r="U183" s="114"/>
      <c r="V183" s="95">
        <f t="shared" ref="V183:V206" si="84">+Q183-O183</f>
        <v>0.20833333333575865</v>
      </c>
      <c r="W183" s="95">
        <v>0.20833333333333334</v>
      </c>
      <c r="X183" s="95">
        <f t="shared" ref="X183:X206" si="85">IF(VALUE(V183)&lt;=VALUE("05:00"),"00:00",VALUE(V183)-VALUE("05:00"))</f>
        <v>2.4253099528692701E-12</v>
      </c>
      <c r="Y183" s="96">
        <v>0</v>
      </c>
      <c r="Z183" s="96">
        <v>59</v>
      </c>
      <c r="AA183" s="96">
        <f t="shared" si="65"/>
        <v>59</v>
      </c>
      <c r="AB183" s="97">
        <f t="shared" si="66"/>
        <v>0</v>
      </c>
      <c r="AC183" s="97">
        <f t="shared" si="67"/>
        <v>4043.6499999999996</v>
      </c>
      <c r="AD183" s="98">
        <v>4043.65</v>
      </c>
      <c r="AE183" s="98">
        <v>4095.2</v>
      </c>
      <c r="AF183" s="98">
        <v>4104.8</v>
      </c>
      <c r="AG183" s="98">
        <f t="shared" si="68"/>
        <v>61.150000000000091</v>
      </c>
      <c r="AH183" s="99">
        <v>1586.7</v>
      </c>
      <c r="AI183" s="100">
        <f t="shared" si="69"/>
        <v>6513086.1600000001</v>
      </c>
      <c r="AJ183" s="100">
        <f>(0.4*AH183)*2</f>
        <v>1269.3600000000001</v>
      </c>
      <c r="AK183" s="100">
        <v>0</v>
      </c>
      <c r="AL183" s="100">
        <v>0</v>
      </c>
      <c r="AM183" s="100">
        <v>0</v>
      </c>
      <c r="AN183" s="100">
        <v>0</v>
      </c>
      <c r="AO183" s="100">
        <f>IFERROR(AF183*20+(((AJ183/AH183)/2)*20),0)</f>
        <v>82104</v>
      </c>
      <c r="AP183" s="100">
        <f t="shared" si="82"/>
        <v>329823</v>
      </c>
      <c r="AQ183" s="101">
        <f t="shared" si="83"/>
        <v>6926283</v>
      </c>
      <c r="AR183" s="101">
        <v>0</v>
      </c>
      <c r="AS183" s="101">
        <v>0</v>
      </c>
      <c r="AT183" s="102" t="s">
        <v>34</v>
      </c>
      <c r="AU183" s="109" t="s">
        <v>118</v>
      </c>
      <c r="AV183" s="100">
        <v>0</v>
      </c>
      <c r="AW183" s="105"/>
      <c r="AX183" s="106">
        <f t="shared" ref="AX183:AX205" si="86">IFERROR((AG183/AF183)*100, "")</f>
        <v>1.4897193529526429</v>
      </c>
      <c r="AY183" s="101">
        <f t="shared" ref="AY183:AY205" si="87">ROUNDUP(AG183*AH183,0)</f>
        <v>97027</v>
      </c>
      <c r="AZ183" s="107"/>
      <c r="BA183" s="94">
        <v>45423.972222222219</v>
      </c>
      <c r="BB183" s="94">
        <v>45424.006944444445</v>
      </c>
      <c r="BC183" s="94">
        <v>45424.006944444445</v>
      </c>
      <c r="BD183" s="94">
        <v>45424.291666666664</v>
      </c>
      <c r="BE183" s="95">
        <f t="shared" ref="BE183:BE206" si="88">+BD183-BA183</f>
        <v>0.31944444444525288</v>
      </c>
      <c r="BF183" s="95">
        <v>5.5555555555555552E-2</v>
      </c>
      <c r="BG183" s="95">
        <v>4.4444444444444446E-2</v>
      </c>
      <c r="BH183" s="95">
        <f t="shared" ref="BH183:BJ206" si="89">+BB183-BA183</f>
        <v>3.4722222226264421E-2</v>
      </c>
      <c r="BI183" s="95">
        <f t="shared" si="89"/>
        <v>0</v>
      </c>
      <c r="BJ183" s="95">
        <f t="shared" si="89"/>
        <v>0.28472222221898846</v>
      </c>
      <c r="BK183" s="95">
        <f t="shared" ref="BK183:BK206" si="90">+BI183+BJ183</f>
        <v>0.28472222221898846</v>
      </c>
      <c r="BL183" s="95">
        <f t="shared" ref="BL183:BL206" si="91">+BE183-BH183-BF183-BG183</f>
        <v>0.18472222221898846</v>
      </c>
      <c r="BM183" s="95">
        <f t="shared" ref="BM183:BM206" si="92">IF(VALUE(BE183)&lt;=VALUE("05:00"),"00:00",VALUE(BE183)-VALUE("05:00"))</f>
        <v>0.11111111111191954</v>
      </c>
      <c r="BN183" s="110"/>
    </row>
    <row r="184" spans="1:66" s="8" customFormat="1" ht="12.75" customHeight="1" x14ac:dyDescent="0.25">
      <c r="A184" s="90">
        <v>147</v>
      </c>
      <c r="B184" s="90">
        <v>45</v>
      </c>
      <c r="C184" s="90">
        <v>11</v>
      </c>
      <c r="D184" s="90" t="s">
        <v>148</v>
      </c>
      <c r="E184" s="91" t="s">
        <v>282</v>
      </c>
      <c r="F184" s="90" t="s">
        <v>19</v>
      </c>
      <c r="G184" s="90" t="s">
        <v>17</v>
      </c>
      <c r="H184" s="90" t="s">
        <v>150</v>
      </c>
      <c r="I184" s="92" t="s">
        <v>315</v>
      </c>
      <c r="J184" s="93">
        <v>45421</v>
      </c>
      <c r="K184" s="92" t="s">
        <v>117</v>
      </c>
      <c r="L184" s="92">
        <v>461000231</v>
      </c>
      <c r="M184" s="93">
        <v>45424</v>
      </c>
      <c r="N184" s="94">
        <v>45424.166666666664</v>
      </c>
      <c r="O184" s="94">
        <v>45424.166666666664</v>
      </c>
      <c r="P184" s="94">
        <v>45424.170138888891</v>
      </c>
      <c r="Q184" s="94">
        <v>45424.375</v>
      </c>
      <c r="R184" s="114" t="s">
        <v>118</v>
      </c>
      <c r="S184" s="114">
        <v>45424.444444444445</v>
      </c>
      <c r="T184" s="114"/>
      <c r="U184" s="114"/>
      <c r="V184" s="95">
        <f t="shared" si="84"/>
        <v>0.20833333333575865</v>
      </c>
      <c r="W184" s="95">
        <v>0.20833333333333334</v>
      </c>
      <c r="X184" s="95">
        <f t="shared" si="85"/>
        <v>2.4253099528692701E-12</v>
      </c>
      <c r="Y184" s="96">
        <v>2</v>
      </c>
      <c r="Z184" s="96">
        <v>57</v>
      </c>
      <c r="AA184" s="96">
        <f t="shared" si="65"/>
        <v>59</v>
      </c>
      <c r="AB184" s="97">
        <f t="shared" si="66"/>
        <v>135.64915254237289</v>
      </c>
      <c r="AC184" s="97">
        <f t="shared" si="67"/>
        <v>3866.0008474576275</v>
      </c>
      <c r="AD184" s="98">
        <v>4001.65</v>
      </c>
      <c r="AE184" s="98">
        <v>4095.8</v>
      </c>
      <c r="AF184" s="98">
        <v>4096.2</v>
      </c>
      <c r="AG184" s="98">
        <f t="shared" si="68"/>
        <v>94.549999999999727</v>
      </c>
      <c r="AH184" s="99">
        <v>672.5</v>
      </c>
      <c r="AI184" s="100">
        <f t="shared" si="69"/>
        <v>2754694.5</v>
      </c>
      <c r="AJ184" s="100">
        <f>(0*AH184)*2</f>
        <v>0</v>
      </c>
      <c r="AK184" s="100">
        <v>0</v>
      </c>
      <c r="AL184" s="100">
        <v>0</v>
      </c>
      <c r="AM184" s="100">
        <v>0</v>
      </c>
      <c r="AN184" s="100">
        <v>0</v>
      </c>
      <c r="AO184" s="100">
        <v>0</v>
      </c>
      <c r="AP184" s="100">
        <f t="shared" si="82"/>
        <v>137735</v>
      </c>
      <c r="AQ184" s="101">
        <f t="shared" si="83"/>
        <v>2892430</v>
      </c>
      <c r="AR184" s="101">
        <v>0</v>
      </c>
      <c r="AS184" s="101">
        <v>0</v>
      </c>
      <c r="AT184" s="102" t="s">
        <v>33</v>
      </c>
      <c r="AU184" s="109" t="s">
        <v>118</v>
      </c>
      <c r="AV184" s="100">
        <v>0</v>
      </c>
      <c r="AW184" s="105"/>
      <c r="AX184" s="106">
        <f t="shared" si="86"/>
        <v>2.3082369024949889</v>
      </c>
      <c r="AY184" s="101">
        <f t="shared" si="87"/>
        <v>63585</v>
      </c>
      <c r="AZ184" s="107"/>
      <c r="BA184" s="94">
        <v>45424.166666666664</v>
      </c>
      <c r="BB184" s="94">
        <v>45424.170138888891</v>
      </c>
      <c r="BC184" s="94">
        <v>45424.322916666664</v>
      </c>
      <c r="BD184" s="94">
        <v>45424.427083333336</v>
      </c>
      <c r="BE184" s="95">
        <f t="shared" si="88"/>
        <v>0.26041666667151731</v>
      </c>
      <c r="BF184" s="95">
        <v>3.125E-2</v>
      </c>
      <c r="BG184" s="95">
        <v>0.12152777777777778</v>
      </c>
      <c r="BH184" s="95">
        <f t="shared" si="89"/>
        <v>3.4722222262644209E-3</v>
      </c>
      <c r="BI184" s="95">
        <f t="shared" si="89"/>
        <v>0.15277777777373558</v>
      </c>
      <c r="BJ184" s="95">
        <f t="shared" si="89"/>
        <v>0.10416666667151731</v>
      </c>
      <c r="BK184" s="95">
        <f t="shared" si="90"/>
        <v>0.25694444444525288</v>
      </c>
      <c r="BL184" s="95">
        <f t="shared" si="91"/>
        <v>0.10416666666747511</v>
      </c>
      <c r="BM184" s="95">
        <f t="shared" si="92"/>
        <v>5.2083333338183962E-2</v>
      </c>
      <c r="BN184" s="110"/>
    </row>
    <row r="185" spans="1:66" s="8" customFormat="1" ht="12.75" customHeight="1" x14ac:dyDescent="0.25">
      <c r="A185" s="90">
        <v>148</v>
      </c>
      <c r="B185" s="90">
        <v>46</v>
      </c>
      <c r="C185" s="90">
        <v>8</v>
      </c>
      <c r="D185" s="90" t="s">
        <v>113</v>
      </c>
      <c r="E185" s="91" t="s">
        <v>173</v>
      </c>
      <c r="F185" s="90" t="s">
        <v>27</v>
      </c>
      <c r="G185" s="90" t="s">
        <v>12</v>
      </c>
      <c r="H185" s="90" t="s">
        <v>115</v>
      </c>
      <c r="I185" s="92" t="s">
        <v>316</v>
      </c>
      <c r="J185" s="93">
        <v>45424</v>
      </c>
      <c r="K185" s="92" t="s">
        <v>122</v>
      </c>
      <c r="L185" s="92">
        <v>282000910</v>
      </c>
      <c r="M185" s="93">
        <v>45425</v>
      </c>
      <c r="N185" s="94">
        <v>45424.635416666664</v>
      </c>
      <c r="O185" s="94">
        <v>45424.635416666664</v>
      </c>
      <c r="P185" s="94">
        <v>45424.652777777781</v>
      </c>
      <c r="Q185" s="94">
        <v>45424.84375</v>
      </c>
      <c r="R185" s="114">
        <v>45424.645833333336</v>
      </c>
      <c r="S185" s="114" t="s">
        <v>118</v>
      </c>
      <c r="T185" s="114"/>
      <c r="U185" s="114"/>
      <c r="V185" s="95">
        <f t="shared" si="84"/>
        <v>0.20833333333575865</v>
      </c>
      <c r="W185" s="95">
        <v>0.20833333333333334</v>
      </c>
      <c r="X185" s="95">
        <f t="shared" si="85"/>
        <v>2.4253099528692701E-12</v>
      </c>
      <c r="Y185" s="96">
        <v>0</v>
      </c>
      <c r="Z185" s="96">
        <v>58</v>
      </c>
      <c r="AA185" s="96">
        <f t="shared" si="65"/>
        <v>58</v>
      </c>
      <c r="AB185" s="97">
        <f t="shared" si="66"/>
        <v>0</v>
      </c>
      <c r="AC185" s="97">
        <f t="shared" si="67"/>
        <v>3917.51</v>
      </c>
      <c r="AD185" s="98">
        <v>3917.51</v>
      </c>
      <c r="AE185" s="98">
        <v>4023.3</v>
      </c>
      <c r="AF185" s="98">
        <v>4032.8</v>
      </c>
      <c r="AG185" s="98">
        <f t="shared" si="68"/>
        <v>115.28999999999996</v>
      </c>
      <c r="AH185" s="99">
        <v>1586.7</v>
      </c>
      <c r="AI185" s="100">
        <f t="shared" si="69"/>
        <v>6398843.7600000007</v>
      </c>
      <c r="AJ185" s="100">
        <f>(0.6*AH185)*2</f>
        <v>1904.04</v>
      </c>
      <c r="AK185" s="100">
        <v>0</v>
      </c>
      <c r="AL185" s="100">
        <v>0</v>
      </c>
      <c r="AM185" s="100">
        <v>0</v>
      </c>
      <c r="AN185" s="100">
        <v>0</v>
      </c>
      <c r="AO185" s="100">
        <f>IFERROR(AF185*20+(((AJ185/AH185)/2)*20),0)</f>
        <v>80668</v>
      </c>
      <c r="AP185" s="100">
        <f t="shared" si="82"/>
        <v>324071</v>
      </c>
      <c r="AQ185" s="101">
        <f t="shared" si="83"/>
        <v>6805487</v>
      </c>
      <c r="AR185" s="101">
        <v>0</v>
      </c>
      <c r="AS185" s="101">
        <v>0</v>
      </c>
      <c r="AT185" s="102" t="s">
        <v>33</v>
      </c>
      <c r="AU185" s="109" t="s">
        <v>118</v>
      </c>
      <c r="AV185" s="100">
        <v>0</v>
      </c>
      <c r="AW185" s="105"/>
      <c r="AX185" s="106">
        <f t="shared" si="86"/>
        <v>2.8588077762348729</v>
      </c>
      <c r="AY185" s="101">
        <f t="shared" si="87"/>
        <v>182931</v>
      </c>
      <c r="AZ185" s="107"/>
      <c r="BA185" s="94">
        <v>45424.645833333336</v>
      </c>
      <c r="BB185" s="94">
        <v>45424.652777777781</v>
      </c>
      <c r="BC185" s="94">
        <v>45424.665972222225</v>
      </c>
      <c r="BD185" s="94">
        <v>45424.843055555553</v>
      </c>
      <c r="BE185" s="95">
        <f t="shared" si="88"/>
        <v>0.19722222221753327</v>
      </c>
      <c r="BF185" s="95">
        <v>0</v>
      </c>
      <c r="BG185" s="95">
        <v>3.7499999999999999E-2</v>
      </c>
      <c r="BH185" s="95">
        <f t="shared" si="89"/>
        <v>6.9444444452528842E-3</v>
      </c>
      <c r="BI185" s="95">
        <f t="shared" si="89"/>
        <v>1.3194444443797693E-2</v>
      </c>
      <c r="BJ185" s="95">
        <f t="shared" si="89"/>
        <v>0.17708333332848269</v>
      </c>
      <c r="BK185" s="95">
        <f t="shared" si="90"/>
        <v>0.19027777777228039</v>
      </c>
      <c r="BL185" s="95">
        <f t="shared" si="91"/>
        <v>0.15277777777228038</v>
      </c>
      <c r="BM185" s="95" t="str">
        <f t="shared" si="92"/>
        <v>00:00</v>
      </c>
      <c r="BN185" s="110"/>
    </row>
    <row r="186" spans="1:66" s="8" customFormat="1" ht="12.75" customHeight="1" x14ac:dyDescent="0.25">
      <c r="A186" s="90">
        <v>149</v>
      </c>
      <c r="B186" s="90">
        <v>47</v>
      </c>
      <c r="C186" s="90">
        <v>24</v>
      </c>
      <c r="D186" s="90" t="s">
        <v>113</v>
      </c>
      <c r="E186" s="91" t="s">
        <v>188</v>
      </c>
      <c r="F186" s="90" t="s">
        <v>29</v>
      </c>
      <c r="G186" s="90" t="s">
        <v>15</v>
      </c>
      <c r="H186" s="90" t="s">
        <v>124</v>
      </c>
      <c r="I186" s="92" t="s">
        <v>317</v>
      </c>
      <c r="J186" s="93"/>
      <c r="K186" s="92" t="s">
        <v>117</v>
      </c>
      <c r="L186" s="92">
        <v>461000232</v>
      </c>
      <c r="M186" s="93">
        <v>45425</v>
      </c>
      <c r="N186" s="94">
        <v>45424.822916666664</v>
      </c>
      <c r="O186" s="94">
        <v>45424.822916666664</v>
      </c>
      <c r="P186" s="94">
        <v>45424.836805555555</v>
      </c>
      <c r="Q186" s="94">
        <v>45424.989583333336</v>
      </c>
      <c r="R186" s="114">
        <v>45424.833333333336</v>
      </c>
      <c r="S186" s="114">
        <v>45425.083333333336</v>
      </c>
      <c r="T186" s="114"/>
      <c r="U186" s="114"/>
      <c r="V186" s="95">
        <f t="shared" si="84"/>
        <v>0.16666666667151731</v>
      </c>
      <c r="W186" s="95">
        <v>0.20833333333333334</v>
      </c>
      <c r="X186" s="95" t="str">
        <f t="shared" si="85"/>
        <v>00:00</v>
      </c>
      <c r="Y186" s="96">
        <v>0</v>
      </c>
      <c r="Z186" s="96">
        <v>59</v>
      </c>
      <c r="AA186" s="96">
        <f t="shared" si="65"/>
        <v>59</v>
      </c>
      <c r="AB186" s="97">
        <f t="shared" si="66"/>
        <v>0</v>
      </c>
      <c r="AC186" s="97">
        <f t="shared" si="67"/>
        <v>3969.03</v>
      </c>
      <c r="AD186" s="98">
        <v>3969.03</v>
      </c>
      <c r="AE186" s="98">
        <v>4094.2</v>
      </c>
      <c r="AF186" s="98">
        <v>4097.8</v>
      </c>
      <c r="AG186" s="98">
        <f t="shared" si="68"/>
        <v>128.76999999999998</v>
      </c>
      <c r="AH186" s="99">
        <v>797.2</v>
      </c>
      <c r="AI186" s="100">
        <f t="shared" si="69"/>
        <v>3266766.16</v>
      </c>
      <c r="AJ186" s="100">
        <f>(0*AH186)*2</f>
        <v>0</v>
      </c>
      <c r="AK186" s="100">
        <v>0</v>
      </c>
      <c r="AL186" s="100">
        <v>24290</v>
      </c>
      <c r="AM186" s="100">
        <v>0</v>
      </c>
      <c r="AN186" s="100">
        <v>0</v>
      </c>
      <c r="AO186" s="100">
        <v>0</v>
      </c>
      <c r="AP186" s="100">
        <f t="shared" si="82"/>
        <v>164553</v>
      </c>
      <c r="AQ186" s="101">
        <f t="shared" si="83"/>
        <v>3455610</v>
      </c>
      <c r="AR186" s="101"/>
      <c r="AS186" s="101"/>
      <c r="AT186" s="102" t="s">
        <v>33</v>
      </c>
      <c r="AU186" s="109"/>
      <c r="AV186" s="100">
        <v>2</v>
      </c>
      <c r="AW186" s="105"/>
      <c r="AX186" s="106">
        <f t="shared" si="86"/>
        <v>3.1424178827663614</v>
      </c>
      <c r="AY186" s="101">
        <f t="shared" si="87"/>
        <v>102656</v>
      </c>
      <c r="AZ186" s="107"/>
      <c r="BA186" s="94">
        <v>45424.833333333336</v>
      </c>
      <c r="BB186" s="94">
        <v>45424.836805555555</v>
      </c>
      <c r="BC186" s="94">
        <v>45424.881944444445</v>
      </c>
      <c r="BD186" s="94">
        <v>45425.089583333334</v>
      </c>
      <c r="BE186" s="95">
        <f t="shared" si="88"/>
        <v>0.25624999999854481</v>
      </c>
      <c r="BF186" s="95">
        <v>1.0416666666666666E-2</v>
      </c>
      <c r="BG186" s="95">
        <v>0.13472222222222222</v>
      </c>
      <c r="BH186" s="95">
        <f t="shared" si="89"/>
        <v>3.4722222189884633E-3</v>
      </c>
      <c r="BI186" s="95">
        <f t="shared" si="89"/>
        <v>4.5138888890505768E-2</v>
      </c>
      <c r="BJ186" s="95">
        <f t="shared" si="89"/>
        <v>0.20763888888905058</v>
      </c>
      <c r="BK186" s="95">
        <f t="shared" si="90"/>
        <v>0.25277777777955635</v>
      </c>
      <c r="BL186" s="95">
        <f t="shared" si="91"/>
        <v>0.10763888889066747</v>
      </c>
      <c r="BM186" s="95">
        <f t="shared" si="92"/>
        <v>4.7916666665211466E-2</v>
      </c>
      <c r="BN186" s="110"/>
    </row>
    <row r="187" spans="1:66" s="8" customFormat="1" ht="12.75" customHeight="1" x14ac:dyDescent="0.25">
      <c r="A187" s="90">
        <v>150</v>
      </c>
      <c r="B187" s="90">
        <v>48</v>
      </c>
      <c r="C187" s="90">
        <v>12</v>
      </c>
      <c r="D187" s="90" t="s">
        <v>148</v>
      </c>
      <c r="E187" s="91" t="s">
        <v>282</v>
      </c>
      <c r="F187" s="90" t="s">
        <v>19</v>
      </c>
      <c r="G187" s="90" t="s">
        <v>17</v>
      </c>
      <c r="H187" s="90" t="s">
        <v>150</v>
      </c>
      <c r="I187" s="92" t="s">
        <v>318</v>
      </c>
      <c r="J187" s="93">
        <v>45422</v>
      </c>
      <c r="K187" s="92" t="s">
        <v>122</v>
      </c>
      <c r="L187" s="92">
        <v>461000233</v>
      </c>
      <c r="M187" s="93">
        <v>45425</v>
      </c>
      <c r="N187" s="94">
        <v>45425.114583333336</v>
      </c>
      <c r="O187" s="94">
        <v>45425.114583333336</v>
      </c>
      <c r="P187" s="94">
        <v>45425.121527777781</v>
      </c>
      <c r="Q187" s="94">
        <v>45425.3125</v>
      </c>
      <c r="R187" s="114" t="s">
        <v>118</v>
      </c>
      <c r="S187" s="114" t="s">
        <v>118</v>
      </c>
      <c r="T187" s="114"/>
      <c r="U187" s="114"/>
      <c r="V187" s="95">
        <f t="shared" si="84"/>
        <v>0.19791666666424135</v>
      </c>
      <c r="W187" s="95">
        <v>0.20833333333333334</v>
      </c>
      <c r="X187" s="95" t="str">
        <f t="shared" si="85"/>
        <v>00:00</v>
      </c>
      <c r="Y187" s="96">
        <v>0</v>
      </c>
      <c r="Z187" s="96">
        <v>58</v>
      </c>
      <c r="AA187" s="96">
        <f t="shared" si="65"/>
        <v>58</v>
      </c>
      <c r="AB187" s="97">
        <f t="shared" si="66"/>
        <v>0</v>
      </c>
      <c r="AC187" s="97">
        <f t="shared" si="67"/>
        <v>3978.1300000000006</v>
      </c>
      <c r="AD187" s="98">
        <v>3978.13</v>
      </c>
      <c r="AE187" s="98">
        <v>4031.9</v>
      </c>
      <c r="AF187" s="98">
        <v>4043</v>
      </c>
      <c r="AG187" s="98">
        <f t="shared" si="68"/>
        <v>64.869999999999891</v>
      </c>
      <c r="AH187" s="99">
        <v>672.5</v>
      </c>
      <c r="AI187" s="100">
        <f t="shared" si="69"/>
        <v>2718917.5</v>
      </c>
      <c r="AJ187" s="100">
        <f>(0*AH187)*2</f>
        <v>0</v>
      </c>
      <c r="AK187" s="100">
        <v>0</v>
      </c>
      <c r="AL187" s="100">
        <v>24140</v>
      </c>
      <c r="AM187" s="100">
        <v>0</v>
      </c>
      <c r="AN187" s="100">
        <v>0</v>
      </c>
      <c r="AO187" s="100">
        <v>0</v>
      </c>
      <c r="AP187" s="100">
        <f t="shared" si="82"/>
        <v>137153</v>
      </c>
      <c r="AQ187" s="101">
        <f t="shared" si="83"/>
        <v>2880211</v>
      </c>
      <c r="AR187" s="101">
        <v>0</v>
      </c>
      <c r="AS187" s="101">
        <v>0</v>
      </c>
      <c r="AT187" s="102" t="s">
        <v>34</v>
      </c>
      <c r="AU187" s="109"/>
      <c r="AV187" s="100">
        <v>3.5</v>
      </c>
      <c r="AW187" s="105"/>
      <c r="AX187" s="106">
        <f t="shared" si="86"/>
        <v>1.6045016077170391</v>
      </c>
      <c r="AY187" s="101">
        <f t="shared" si="87"/>
        <v>43626</v>
      </c>
      <c r="AZ187" s="107"/>
      <c r="BA187" s="94">
        <v>45425.114583333336</v>
      </c>
      <c r="BB187" s="94">
        <v>45425.121527777781</v>
      </c>
      <c r="BC187" s="94">
        <v>45425.121527777781</v>
      </c>
      <c r="BD187" s="94">
        <v>45425.243055555555</v>
      </c>
      <c r="BE187" s="95">
        <f t="shared" si="88"/>
        <v>0.12847222221898846</v>
      </c>
      <c r="BF187" s="95">
        <v>0</v>
      </c>
      <c r="BG187" s="95">
        <v>0</v>
      </c>
      <c r="BH187" s="95">
        <f t="shared" si="89"/>
        <v>6.9444444452528842E-3</v>
      </c>
      <c r="BI187" s="95">
        <f t="shared" si="89"/>
        <v>0</v>
      </c>
      <c r="BJ187" s="95">
        <f t="shared" si="89"/>
        <v>0.12152777777373558</v>
      </c>
      <c r="BK187" s="95">
        <f t="shared" si="90"/>
        <v>0.12152777777373558</v>
      </c>
      <c r="BL187" s="95">
        <f t="shared" si="91"/>
        <v>0.12152777777373558</v>
      </c>
      <c r="BM187" s="95" t="str">
        <f t="shared" si="92"/>
        <v>00:00</v>
      </c>
      <c r="BN187" s="110"/>
    </row>
    <row r="188" spans="1:66" s="8" customFormat="1" ht="12.75" customHeight="1" x14ac:dyDescent="0.25">
      <c r="A188" s="90">
        <v>151</v>
      </c>
      <c r="B188" s="90">
        <v>49</v>
      </c>
      <c r="C188" s="90">
        <v>1</v>
      </c>
      <c r="D188" s="90" t="s">
        <v>113</v>
      </c>
      <c r="E188" s="91" t="s">
        <v>319</v>
      </c>
      <c r="F188" s="90" t="s">
        <v>32</v>
      </c>
      <c r="G188" s="90" t="s">
        <v>8</v>
      </c>
      <c r="H188" s="90" t="s">
        <v>146</v>
      </c>
      <c r="I188" s="92" t="s">
        <v>320</v>
      </c>
      <c r="J188" s="93">
        <v>45424</v>
      </c>
      <c r="K188" s="92" t="s">
        <v>117</v>
      </c>
      <c r="L188" s="92">
        <v>261005726</v>
      </c>
      <c r="M188" s="93">
        <v>45425</v>
      </c>
      <c r="N188" s="94">
        <v>45425.239583333336</v>
      </c>
      <c r="O188" s="94">
        <v>45425.239583333336</v>
      </c>
      <c r="P188" s="94">
        <v>45425.243055555555</v>
      </c>
      <c r="Q188" s="94">
        <v>45425.427083333336</v>
      </c>
      <c r="R188" s="114" t="s">
        <v>118</v>
      </c>
      <c r="S188" s="114" t="s">
        <v>118</v>
      </c>
      <c r="T188" s="114"/>
      <c r="U188" s="114"/>
      <c r="V188" s="95">
        <f t="shared" si="84"/>
        <v>0.1875</v>
      </c>
      <c r="W188" s="95">
        <v>0.20833333333333334</v>
      </c>
      <c r="X188" s="95" t="str">
        <f t="shared" si="85"/>
        <v>00:00</v>
      </c>
      <c r="Y188" s="96">
        <v>0</v>
      </c>
      <c r="Z188" s="96">
        <v>58</v>
      </c>
      <c r="AA188" s="96">
        <f t="shared" si="65"/>
        <v>58</v>
      </c>
      <c r="AB188" s="97">
        <f t="shared" si="66"/>
        <v>0</v>
      </c>
      <c r="AC188" s="97">
        <f t="shared" si="67"/>
        <v>3959.84</v>
      </c>
      <c r="AD188" s="98">
        <v>3959.84</v>
      </c>
      <c r="AE188" s="98">
        <v>4039.4</v>
      </c>
      <c r="AF188" s="98">
        <v>4042</v>
      </c>
      <c r="AG188" s="98">
        <f t="shared" si="68"/>
        <v>82.159999999999854</v>
      </c>
      <c r="AH188" s="99">
        <v>1398.7</v>
      </c>
      <c r="AI188" s="100">
        <f t="shared" si="69"/>
        <v>5653545.4000000004</v>
      </c>
      <c r="AJ188" s="100">
        <f>(0*AH188)*2</f>
        <v>0</v>
      </c>
      <c r="AK188" s="100">
        <v>0</v>
      </c>
      <c r="AL188" s="100">
        <v>0</v>
      </c>
      <c r="AM188" s="100">
        <v>0</v>
      </c>
      <c r="AN188" s="100">
        <v>0</v>
      </c>
      <c r="AO188" s="100">
        <v>0</v>
      </c>
      <c r="AP188" s="100">
        <f t="shared" si="82"/>
        <v>282678</v>
      </c>
      <c r="AQ188" s="101">
        <f t="shared" si="83"/>
        <v>5936224</v>
      </c>
      <c r="AR188" s="101">
        <v>0</v>
      </c>
      <c r="AS188" s="101">
        <v>0</v>
      </c>
      <c r="AT188" s="102" t="s">
        <v>34</v>
      </c>
      <c r="AU188" s="109" t="s">
        <v>118</v>
      </c>
      <c r="AV188" s="100">
        <v>0</v>
      </c>
      <c r="AW188" s="105"/>
      <c r="AX188" s="106">
        <f t="shared" si="86"/>
        <v>2.0326571004453204</v>
      </c>
      <c r="AY188" s="101">
        <f t="shared" si="87"/>
        <v>114918</v>
      </c>
      <c r="AZ188" s="107"/>
      <c r="BA188" s="94">
        <v>45425.239583333336</v>
      </c>
      <c r="BB188" s="94">
        <v>45425.243055555555</v>
      </c>
      <c r="BC188" s="94">
        <v>45425.263888888891</v>
      </c>
      <c r="BD188" s="94">
        <v>45425.385416666664</v>
      </c>
      <c r="BE188" s="95">
        <f t="shared" si="88"/>
        <v>0.14583333332848269</v>
      </c>
      <c r="BF188" s="95">
        <v>1.3888888888888888E-2</v>
      </c>
      <c r="BG188" s="95">
        <v>6.9444444444444441E-3</v>
      </c>
      <c r="BH188" s="95">
        <f t="shared" si="89"/>
        <v>3.4722222189884633E-3</v>
      </c>
      <c r="BI188" s="95">
        <f t="shared" si="89"/>
        <v>2.0833333335758653E-2</v>
      </c>
      <c r="BJ188" s="95">
        <f t="shared" si="89"/>
        <v>0.12152777777373558</v>
      </c>
      <c r="BK188" s="95">
        <f t="shared" si="90"/>
        <v>0.14236111110949423</v>
      </c>
      <c r="BL188" s="95">
        <f t="shared" si="91"/>
        <v>0.12152777777616089</v>
      </c>
      <c r="BM188" s="95" t="str">
        <f t="shared" si="92"/>
        <v>00:00</v>
      </c>
      <c r="BN188" s="110"/>
    </row>
    <row r="189" spans="1:66" s="8" customFormat="1" ht="12.75" customHeight="1" x14ac:dyDescent="0.25">
      <c r="A189" s="90">
        <v>152</v>
      </c>
      <c r="B189" s="90">
        <v>50</v>
      </c>
      <c r="C189" s="90">
        <v>4</v>
      </c>
      <c r="D189" s="90" t="s">
        <v>113</v>
      </c>
      <c r="E189" s="91" t="s">
        <v>296</v>
      </c>
      <c r="F189" s="90" t="s">
        <v>32</v>
      </c>
      <c r="G189" s="90" t="s">
        <v>15</v>
      </c>
      <c r="H189" s="90" t="s">
        <v>201</v>
      </c>
      <c r="I189" s="92" t="s">
        <v>321</v>
      </c>
      <c r="J189" s="93">
        <v>45419</v>
      </c>
      <c r="K189" s="92" t="s">
        <v>117</v>
      </c>
      <c r="L189" s="92">
        <v>262009662</v>
      </c>
      <c r="M189" s="93">
        <v>45426</v>
      </c>
      <c r="N189" s="94">
        <v>45425.6875</v>
      </c>
      <c r="O189" s="94">
        <v>45425.6875</v>
      </c>
      <c r="P189" s="94">
        <v>45425.694444444445</v>
      </c>
      <c r="Q189" s="94">
        <v>45425.895833333336</v>
      </c>
      <c r="R189" s="114" t="s">
        <v>118</v>
      </c>
      <c r="S189" s="114" t="s">
        <v>118</v>
      </c>
      <c r="T189" s="114"/>
      <c r="U189" s="114"/>
      <c r="V189" s="95">
        <f t="shared" si="84"/>
        <v>0.20833333333575865</v>
      </c>
      <c r="W189" s="95">
        <v>0.20833333333333334</v>
      </c>
      <c r="X189" s="95">
        <f t="shared" si="85"/>
        <v>2.4253099528692701E-12</v>
      </c>
      <c r="Y189" s="96">
        <v>0</v>
      </c>
      <c r="Z189" s="96">
        <v>55</v>
      </c>
      <c r="AA189" s="96">
        <f t="shared" si="65"/>
        <v>55</v>
      </c>
      <c r="AB189" s="97">
        <f t="shared" si="66"/>
        <v>0</v>
      </c>
      <c r="AC189" s="97">
        <f t="shared" si="67"/>
        <v>3698.71</v>
      </c>
      <c r="AD189" s="98">
        <v>3698.71</v>
      </c>
      <c r="AE189" s="98">
        <v>3820.4</v>
      </c>
      <c r="AF189" s="98">
        <v>3821.4</v>
      </c>
      <c r="AG189" s="98">
        <f t="shared" si="68"/>
        <v>122.69000000000005</v>
      </c>
      <c r="AH189" s="99">
        <v>2230.6999999999998</v>
      </c>
      <c r="AI189" s="100">
        <f t="shared" si="69"/>
        <v>8524396.9799999986</v>
      </c>
      <c r="AJ189" s="100">
        <f>(0*AH189)*2</f>
        <v>0</v>
      </c>
      <c r="AK189" s="100">
        <v>0</v>
      </c>
      <c r="AL189" s="100">
        <v>0</v>
      </c>
      <c r="AM189" s="100">
        <v>0</v>
      </c>
      <c r="AN189" s="100">
        <v>0</v>
      </c>
      <c r="AO189" s="100">
        <v>0</v>
      </c>
      <c r="AP189" s="100">
        <f t="shared" si="82"/>
        <v>426220</v>
      </c>
      <c r="AQ189" s="101">
        <f t="shared" si="83"/>
        <v>8950617</v>
      </c>
      <c r="AR189" s="101">
        <v>0</v>
      </c>
      <c r="AS189" s="101">
        <v>0</v>
      </c>
      <c r="AT189" s="102" t="s">
        <v>34</v>
      </c>
      <c r="AU189" s="109" t="s">
        <v>118</v>
      </c>
      <c r="AV189" s="100">
        <v>0</v>
      </c>
      <c r="AW189" s="105"/>
      <c r="AX189" s="106">
        <f t="shared" si="86"/>
        <v>3.2106034437640667</v>
      </c>
      <c r="AY189" s="101">
        <f t="shared" si="87"/>
        <v>273685</v>
      </c>
      <c r="AZ189" s="107"/>
      <c r="BA189" s="94">
        <v>45425.6875</v>
      </c>
      <c r="BB189" s="94">
        <v>45425.694444444445</v>
      </c>
      <c r="BC189" s="94">
        <v>45425.694444444445</v>
      </c>
      <c r="BD189" s="94">
        <v>45425.892361111109</v>
      </c>
      <c r="BE189" s="95">
        <f t="shared" si="88"/>
        <v>0.20486111110949423</v>
      </c>
      <c r="BF189" s="95">
        <v>0</v>
      </c>
      <c r="BG189" s="95">
        <v>9.930555555555555E-2</v>
      </c>
      <c r="BH189" s="95">
        <f t="shared" si="89"/>
        <v>6.9444444452528842E-3</v>
      </c>
      <c r="BI189" s="95">
        <f t="shared" si="89"/>
        <v>0</v>
      </c>
      <c r="BJ189" s="95">
        <f t="shared" si="89"/>
        <v>0.19791666666424135</v>
      </c>
      <c r="BK189" s="95">
        <f t="shared" si="90"/>
        <v>0.19791666666424135</v>
      </c>
      <c r="BL189" s="95">
        <f t="shared" si="91"/>
        <v>9.8611111108685798E-2</v>
      </c>
      <c r="BM189" s="95" t="str">
        <f t="shared" si="92"/>
        <v>00:00</v>
      </c>
      <c r="BN189" s="110"/>
    </row>
    <row r="190" spans="1:66" s="8" customFormat="1" ht="12.75" customHeight="1" x14ac:dyDescent="0.25">
      <c r="A190" s="90">
        <v>153</v>
      </c>
      <c r="B190" s="90">
        <v>51</v>
      </c>
      <c r="C190" s="90">
        <v>13</v>
      </c>
      <c r="D190" s="90" t="s">
        <v>148</v>
      </c>
      <c r="E190" s="91" t="s">
        <v>282</v>
      </c>
      <c r="F190" s="90" t="s">
        <v>19</v>
      </c>
      <c r="G190" s="90" t="s">
        <v>17</v>
      </c>
      <c r="H190" s="90" t="s">
        <v>150</v>
      </c>
      <c r="I190" s="92" t="s">
        <v>322</v>
      </c>
      <c r="J190" s="93">
        <v>45423</v>
      </c>
      <c r="K190" s="92" t="s">
        <v>122</v>
      </c>
      <c r="L190" s="92">
        <v>461000234</v>
      </c>
      <c r="M190" s="93">
        <v>45426</v>
      </c>
      <c r="N190" s="94">
        <v>45425.96875</v>
      </c>
      <c r="O190" s="94">
        <v>45425.96875</v>
      </c>
      <c r="P190" s="94">
        <v>45425.989583333336</v>
      </c>
      <c r="Q190" s="94">
        <v>45426.166666666664</v>
      </c>
      <c r="R190" s="114" t="s">
        <v>118</v>
      </c>
      <c r="S190" s="114" t="s">
        <v>118</v>
      </c>
      <c r="T190" s="114"/>
      <c r="U190" s="114"/>
      <c r="V190" s="95">
        <f t="shared" si="84"/>
        <v>0.19791666666424135</v>
      </c>
      <c r="W190" s="95">
        <v>0.20833333333333334</v>
      </c>
      <c r="X190" s="95" t="str">
        <f t="shared" si="85"/>
        <v>00:00</v>
      </c>
      <c r="Y190" s="96">
        <v>0</v>
      </c>
      <c r="Z190" s="96">
        <v>58</v>
      </c>
      <c r="AA190" s="96">
        <f t="shared" si="65"/>
        <v>58</v>
      </c>
      <c r="AB190" s="97">
        <f t="shared" si="66"/>
        <v>0</v>
      </c>
      <c r="AC190" s="97">
        <f t="shared" si="67"/>
        <v>4069.6</v>
      </c>
      <c r="AD190" s="98">
        <v>4069.6</v>
      </c>
      <c r="AE190" s="98">
        <v>4060</v>
      </c>
      <c r="AF190" s="98">
        <v>4095.8</v>
      </c>
      <c r="AG190" s="98">
        <f t="shared" si="68"/>
        <v>26.200000000000273</v>
      </c>
      <c r="AH190" s="99">
        <v>672.5</v>
      </c>
      <c r="AI190" s="100">
        <f t="shared" si="69"/>
        <v>2754425.5</v>
      </c>
      <c r="AJ190" s="100">
        <f>(0*AH190)*2</f>
        <v>0</v>
      </c>
      <c r="AK190" s="100">
        <v>0</v>
      </c>
      <c r="AL190" s="100">
        <v>24140</v>
      </c>
      <c r="AM190" s="100">
        <v>0</v>
      </c>
      <c r="AN190" s="100">
        <v>0</v>
      </c>
      <c r="AO190" s="100">
        <v>0</v>
      </c>
      <c r="AP190" s="100">
        <f t="shared" si="82"/>
        <v>138929</v>
      </c>
      <c r="AQ190" s="101">
        <f t="shared" si="83"/>
        <v>2917495</v>
      </c>
      <c r="AR190" s="101">
        <v>0</v>
      </c>
      <c r="AS190" s="101">
        <v>0</v>
      </c>
      <c r="AT190" s="102" t="s">
        <v>268</v>
      </c>
      <c r="AU190" s="109"/>
      <c r="AV190" s="100">
        <v>28</v>
      </c>
      <c r="AW190" s="105"/>
      <c r="AX190" s="106">
        <f t="shared" si="86"/>
        <v>0.63967967185898411</v>
      </c>
      <c r="AY190" s="101">
        <f t="shared" si="87"/>
        <v>17620</v>
      </c>
      <c r="AZ190" s="107"/>
      <c r="BA190" s="94">
        <v>45425.96875</v>
      </c>
      <c r="BB190" s="94">
        <v>45425.982638888891</v>
      </c>
      <c r="BC190" s="94">
        <v>45425.993055555555</v>
      </c>
      <c r="BD190" s="94">
        <v>45426.111111111109</v>
      </c>
      <c r="BE190" s="95">
        <f t="shared" si="88"/>
        <v>0.14236111110949423</v>
      </c>
      <c r="BF190" s="95">
        <v>0</v>
      </c>
      <c r="BG190" s="95">
        <v>1.0416666666666666E-2</v>
      </c>
      <c r="BH190" s="95">
        <f t="shared" si="89"/>
        <v>1.3888888890505768E-2</v>
      </c>
      <c r="BI190" s="95">
        <f t="shared" si="89"/>
        <v>1.0416666664241347E-2</v>
      </c>
      <c r="BJ190" s="95">
        <f t="shared" si="89"/>
        <v>0.11805555555474712</v>
      </c>
      <c r="BK190" s="95">
        <f t="shared" si="90"/>
        <v>0.12847222221898846</v>
      </c>
      <c r="BL190" s="95">
        <f t="shared" si="91"/>
        <v>0.11805555555232179</v>
      </c>
      <c r="BM190" s="95" t="str">
        <f t="shared" si="92"/>
        <v>00:00</v>
      </c>
      <c r="BN190" s="110"/>
    </row>
    <row r="191" spans="1:66" s="8" customFormat="1" ht="12.75" customHeight="1" x14ac:dyDescent="0.25">
      <c r="A191" s="90">
        <v>154</v>
      </c>
      <c r="B191" s="90">
        <v>52</v>
      </c>
      <c r="C191" s="90">
        <v>2</v>
      </c>
      <c r="D191" s="90" t="s">
        <v>113</v>
      </c>
      <c r="E191" s="91" t="s">
        <v>319</v>
      </c>
      <c r="F191" s="90" t="s">
        <v>32</v>
      </c>
      <c r="G191" s="90" t="s">
        <v>8</v>
      </c>
      <c r="H191" s="90" t="s">
        <v>120</v>
      </c>
      <c r="I191" s="92" t="s">
        <v>323</v>
      </c>
      <c r="J191" s="93">
        <v>45425</v>
      </c>
      <c r="K191" s="92" t="s">
        <v>117</v>
      </c>
      <c r="L191" s="92">
        <v>241000396</v>
      </c>
      <c r="M191" s="93">
        <v>45426</v>
      </c>
      <c r="N191" s="94">
        <v>45426.135416666664</v>
      </c>
      <c r="O191" s="94">
        <v>45426.135416666664</v>
      </c>
      <c r="P191" s="94">
        <v>45426.159722222219</v>
      </c>
      <c r="Q191" s="94">
        <v>45426.322916666664</v>
      </c>
      <c r="R191" s="114">
        <v>45426.145833333336</v>
      </c>
      <c r="S191" s="114" t="s">
        <v>118</v>
      </c>
      <c r="T191" s="114"/>
      <c r="U191" s="114"/>
      <c r="V191" s="95">
        <f t="shared" si="84"/>
        <v>0.1875</v>
      </c>
      <c r="W191" s="95">
        <v>0.20833333333333334</v>
      </c>
      <c r="X191" s="95" t="str">
        <f t="shared" si="85"/>
        <v>00:00</v>
      </c>
      <c r="Y191" s="96">
        <v>0</v>
      </c>
      <c r="Z191" s="96">
        <v>58</v>
      </c>
      <c r="AA191" s="96">
        <f t="shared" si="65"/>
        <v>58</v>
      </c>
      <c r="AB191" s="97">
        <f t="shared" si="66"/>
        <v>0</v>
      </c>
      <c r="AC191" s="97">
        <f t="shared" si="67"/>
        <v>3979.59</v>
      </c>
      <c r="AD191" s="98">
        <v>3979.59</v>
      </c>
      <c r="AE191" s="98">
        <v>4060.1</v>
      </c>
      <c r="AF191" s="98">
        <v>4061.8</v>
      </c>
      <c r="AG191" s="98">
        <f t="shared" si="68"/>
        <v>82.210000000000036</v>
      </c>
      <c r="AH191" s="99">
        <v>1398.7</v>
      </c>
      <c r="AI191" s="100">
        <f t="shared" si="69"/>
        <v>5681239.6600000001</v>
      </c>
      <c r="AJ191" s="100">
        <f>(0.4*AH191)*2</f>
        <v>1118.96</v>
      </c>
      <c r="AK191" s="100">
        <v>0</v>
      </c>
      <c r="AL191" s="100">
        <v>0</v>
      </c>
      <c r="AM191" s="100">
        <v>0</v>
      </c>
      <c r="AN191" s="100">
        <v>0</v>
      </c>
      <c r="AO191" s="100">
        <v>0</v>
      </c>
      <c r="AP191" s="100">
        <f t="shared" si="82"/>
        <v>284118</v>
      </c>
      <c r="AQ191" s="101">
        <f t="shared" si="83"/>
        <v>5966477</v>
      </c>
      <c r="AR191" s="101">
        <v>0</v>
      </c>
      <c r="AS191" s="101">
        <v>0</v>
      </c>
      <c r="AT191" s="102" t="s">
        <v>268</v>
      </c>
      <c r="AU191" s="109" t="s">
        <v>118</v>
      </c>
      <c r="AV191" s="100">
        <v>0</v>
      </c>
      <c r="AW191" s="105"/>
      <c r="AX191" s="106">
        <f t="shared" si="86"/>
        <v>2.023979516470531</v>
      </c>
      <c r="AY191" s="101">
        <f t="shared" si="87"/>
        <v>114988</v>
      </c>
      <c r="AZ191" s="107"/>
      <c r="BA191" s="94">
        <v>45426.145833333336</v>
      </c>
      <c r="BB191" s="94">
        <v>45426.159722222219</v>
      </c>
      <c r="BC191" s="94">
        <v>45426.159722222219</v>
      </c>
      <c r="BD191" s="94">
        <v>45426.3</v>
      </c>
      <c r="BE191" s="95">
        <f t="shared" si="88"/>
        <v>0.15416666666715173</v>
      </c>
      <c r="BF191" s="95">
        <v>8.3333333333333332E-3</v>
      </c>
      <c r="BG191" s="95">
        <v>0</v>
      </c>
      <c r="BH191" s="95">
        <f t="shared" si="89"/>
        <v>1.3888888883229811E-2</v>
      </c>
      <c r="BI191" s="95">
        <f t="shared" si="89"/>
        <v>0</v>
      </c>
      <c r="BJ191" s="95">
        <f t="shared" si="89"/>
        <v>0.14027777778392192</v>
      </c>
      <c r="BK191" s="95">
        <f t="shared" si="90"/>
        <v>0.14027777778392192</v>
      </c>
      <c r="BL191" s="95">
        <f t="shared" si="91"/>
        <v>0.13194444445058859</v>
      </c>
      <c r="BM191" s="95" t="str">
        <f t="shared" si="92"/>
        <v>00:00</v>
      </c>
      <c r="BN191" s="110"/>
    </row>
    <row r="192" spans="1:66" s="8" customFormat="1" ht="12.75" customHeight="1" x14ac:dyDescent="0.25">
      <c r="A192" s="90">
        <v>155</v>
      </c>
      <c r="B192" s="90">
        <v>53</v>
      </c>
      <c r="C192" s="90">
        <v>3</v>
      </c>
      <c r="D192" s="90" t="s">
        <v>113</v>
      </c>
      <c r="E192" s="91" t="s">
        <v>319</v>
      </c>
      <c r="F192" s="90" t="s">
        <v>32</v>
      </c>
      <c r="G192" s="90" t="s">
        <v>8</v>
      </c>
      <c r="H192" s="90" t="s">
        <v>127</v>
      </c>
      <c r="I192" s="92" t="s">
        <v>324</v>
      </c>
      <c r="J192" s="93">
        <v>45424</v>
      </c>
      <c r="K192" s="92" t="s">
        <v>122</v>
      </c>
      <c r="L192" s="92">
        <v>262009664</v>
      </c>
      <c r="M192" s="93">
        <v>45426</v>
      </c>
      <c r="N192" s="94">
        <v>45426.34375</v>
      </c>
      <c r="O192" s="94">
        <v>45426.34375</v>
      </c>
      <c r="P192" s="94">
        <v>45426.347222222219</v>
      </c>
      <c r="Q192" s="94">
        <v>45426.541666666664</v>
      </c>
      <c r="R192" s="114" t="s">
        <v>118</v>
      </c>
      <c r="S192" s="114" t="s">
        <v>118</v>
      </c>
      <c r="T192" s="114"/>
      <c r="U192" s="114"/>
      <c r="V192" s="95">
        <f t="shared" si="84"/>
        <v>0.19791666666424135</v>
      </c>
      <c r="W192" s="95">
        <v>0.20833333333333334</v>
      </c>
      <c r="X192" s="95" t="str">
        <f t="shared" si="85"/>
        <v>00:00</v>
      </c>
      <c r="Y192" s="96">
        <v>0</v>
      </c>
      <c r="Z192" s="96">
        <v>59</v>
      </c>
      <c r="AA192" s="96">
        <f t="shared" si="65"/>
        <v>59</v>
      </c>
      <c r="AB192" s="97">
        <f t="shared" si="66"/>
        <v>0</v>
      </c>
      <c r="AC192" s="97">
        <f t="shared" si="67"/>
        <v>4016.79</v>
      </c>
      <c r="AD192" s="98">
        <v>4016.79</v>
      </c>
      <c r="AE192" s="98">
        <v>4100.1000000000004</v>
      </c>
      <c r="AF192" s="98">
        <v>4102.3999999999996</v>
      </c>
      <c r="AG192" s="98">
        <f t="shared" si="68"/>
        <v>85.609999999999673</v>
      </c>
      <c r="AH192" s="99">
        <v>1484</v>
      </c>
      <c r="AI192" s="100">
        <f t="shared" si="69"/>
        <v>6087961.5999999996</v>
      </c>
      <c r="AJ192" s="100">
        <f t="shared" ref="AJ192:AJ212" si="93">(0*AH192)*2</f>
        <v>0</v>
      </c>
      <c r="AK192" s="100">
        <v>0</v>
      </c>
      <c r="AL192" s="100">
        <v>0</v>
      </c>
      <c r="AM192" s="100">
        <v>0</v>
      </c>
      <c r="AN192" s="100">
        <v>0</v>
      </c>
      <c r="AO192" s="100">
        <v>0</v>
      </c>
      <c r="AP192" s="100">
        <f t="shared" si="82"/>
        <v>304399</v>
      </c>
      <c r="AQ192" s="101">
        <f t="shared" si="83"/>
        <v>6392361</v>
      </c>
      <c r="AR192" s="101">
        <v>0</v>
      </c>
      <c r="AS192" s="101">
        <v>0</v>
      </c>
      <c r="AT192" s="102" t="s">
        <v>34</v>
      </c>
      <c r="AU192" s="109" t="s">
        <v>118</v>
      </c>
      <c r="AV192" s="100">
        <v>0</v>
      </c>
      <c r="AW192" s="105"/>
      <c r="AX192" s="106">
        <f t="shared" si="86"/>
        <v>2.0868272230889158</v>
      </c>
      <c r="AY192" s="101">
        <f t="shared" si="87"/>
        <v>127046</v>
      </c>
      <c r="AZ192" s="107"/>
      <c r="BA192" s="94">
        <v>45426.34375</v>
      </c>
      <c r="BB192" s="94">
        <v>45426.347222222219</v>
      </c>
      <c r="BC192" s="94">
        <v>45426.347222222219</v>
      </c>
      <c r="BD192" s="94">
        <v>45426.47152777778</v>
      </c>
      <c r="BE192" s="95">
        <f t="shared" si="88"/>
        <v>0.12777777777955635</v>
      </c>
      <c r="BF192" s="95">
        <v>1.3888888888888888E-2</v>
      </c>
      <c r="BG192" s="95">
        <v>0</v>
      </c>
      <c r="BH192" s="95">
        <f t="shared" si="89"/>
        <v>3.4722222189884633E-3</v>
      </c>
      <c r="BI192" s="95">
        <f t="shared" si="89"/>
        <v>0</v>
      </c>
      <c r="BJ192" s="95">
        <f t="shared" si="89"/>
        <v>0.12430555556056788</v>
      </c>
      <c r="BK192" s="95">
        <f t="shared" si="90"/>
        <v>0.12430555556056788</v>
      </c>
      <c r="BL192" s="95">
        <f t="shared" si="91"/>
        <v>0.11041666667167899</v>
      </c>
      <c r="BM192" s="95" t="str">
        <f t="shared" si="92"/>
        <v>00:00</v>
      </c>
      <c r="BN192" s="110"/>
    </row>
    <row r="193" spans="1:66" s="8" customFormat="1" ht="12.75" customHeight="1" x14ac:dyDescent="0.25">
      <c r="A193" s="90">
        <v>156</v>
      </c>
      <c r="B193" s="90">
        <v>54</v>
      </c>
      <c r="C193" s="90">
        <v>9</v>
      </c>
      <c r="D193" s="90" t="s">
        <v>113</v>
      </c>
      <c r="E193" s="91" t="s">
        <v>137</v>
      </c>
      <c r="F193" s="90" t="s">
        <v>27</v>
      </c>
      <c r="G193" s="90" t="s">
        <v>12</v>
      </c>
      <c r="H193" s="90" t="s">
        <v>115</v>
      </c>
      <c r="I193" s="92" t="s">
        <v>325</v>
      </c>
      <c r="J193" s="93">
        <v>45426</v>
      </c>
      <c r="K193" s="92" t="s">
        <v>117</v>
      </c>
      <c r="L193" s="92">
        <v>282000912</v>
      </c>
      <c r="M193" s="93">
        <v>45427</v>
      </c>
      <c r="N193" s="94">
        <v>45426.5</v>
      </c>
      <c r="O193" s="94">
        <v>45426.5</v>
      </c>
      <c r="P193" s="94">
        <v>45426.510416666664</v>
      </c>
      <c r="Q193" s="94">
        <v>45426.6875</v>
      </c>
      <c r="R193" s="114" t="s">
        <v>118</v>
      </c>
      <c r="S193" s="114" t="s">
        <v>118</v>
      </c>
      <c r="T193" s="114"/>
      <c r="U193" s="114"/>
      <c r="V193" s="95">
        <f t="shared" si="84"/>
        <v>0.1875</v>
      </c>
      <c r="W193" s="95">
        <v>0.20833333333333334</v>
      </c>
      <c r="X193" s="95" t="str">
        <f t="shared" si="85"/>
        <v>00:00</v>
      </c>
      <c r="Y193" s="96">
        <v>0</v>
      </c>
      <c r="Z193" s="96">
        <v>58</v>
      </c>
      <c r="AA193" s="96">
        <f t="shared" si="65"/>
        <v>58</v>
      </c>
      <c r="AB193" s="97">
        <f t="shared" si="66"/>
        <v>0</v>
      </c>
      <c r="AC193" s="97">
        <f t="shared" si="67"/>
        <v>4035.74</v>
      </c>
      <c r="AD193" s="98">
        <v>4035.74</v>
      </c>
      <c r="AE193" s="98">
        <v>4056</v>
      </c>
      <c r="AF193" s="98">
        <v>4069.2</v>
      </c>
      <c r="AG193" s="98">
        <f t="shared" si="68"/>
        <v>33.460000000000036</v>
      </c>
      <c r="AH193" s="99">
        <v>1586.7</v>
      </c>
      <c r="AI193" s="100">
        <f t="shared" si="69"/>
        <v>6456599.6399999997</v>
      </c>
      <c r="AJ193" s="100">
        <f t="shared" si="93"/>
        <v>0</v>
      </c>
      <c r="AK193" s="100">
        <v>0</v>
      </c>
      <c r="AL193" s="100">
        <v>24140</v>
      </c>
      <c r="AM193" s="100">
        <v>0</v>
      </c>
      <c r="AN193" s="100">
        <v>0</v>
      </c>
      <c r="AO193" s="100">
        <f>IFERROR(AF193*20+(((AJ193/AH193)/2)*20),0)</f>
        <v>81384</v>
      </c>
      <c r="AP193" s="100">
        <f t="shared" si="82"/>
        <v>328107</v>
      </c>
      <c r="AQ193" s="101">
        <f t="shared" si="83"/>
        <v>6890231</v>
      </c>
      <c r="AR193" s="101">
        <v>0</v>
      </c>
      <c r="AS193" s="101">
        <v>0</v>
      </c>
      <c r="AT193" s="102" t="s">
        <v>34</v>
      </c>
      <c r="AU193" s="109"/>
      <c r="AV193" s="100">
        <v>3</v>
      </c>
      <c r="AW193" s="105"/>
      <c r="AX193" s="106">
        <f t="shared" si="86"/>
        <v>0.82227464857957433</v>
      </c>
      <c r="AY193" s="101">
        <f t="shared" si="87"/>
        <v>53091</v>
      </c>
      <c r="AZ193" s="107"/>
      <c r="BA193" s="94">
        <v>45426.5</v>
      </c>
      <c r="BB193" s="94">
        <v>45426.510416666664</v>
      </c>
      <c r="BC193" s="94">
        <v>45426.520833333336</v>
      </c>
      <c r="BD193" s="94">
        <v>45426.673611111109</v>
      </c>
      <c r="BE193" s="95">
        <f t="shared" si="88"/>
        <v>0.17361111110949423</v>
      </c>
      <c r="BF193" s="95">
        <v>0</v>
      </c>
      <c r="BG193" s="95">
        <v>5.5555555555555552E-2</v>
      </c>
      <c r="BH193" s="95">
        <f t="shared" si="89"/>
        <v>1.0416666664241347E-2</v>
      </c>
      <c r="BI193" s="95">
        <f t="shared" si="89"/>
        <v>1.0416666671517305E-2</v>
      </c>
      <c r="BJ193" s="95">
        <f t="shared" si="89"/>
        <v>0.15277777777373558</v>
      </c>
      <c r="BK193" s="95">
        <f t="shared" si="90"/>
        <v>0.16319444444525288</v>
      </c>
      <c r="BL193" s="95">
        <f t="shared" si="91"/>
        <v>0.10763888888969733</v>
      </c>
      <c r="BM193" s="95" t="str">
        <f t="shared" si="92"/>
        <v>00:00</v>
      </c>
      <c r="BN193" s="110"/>
    </row>
    <row r="194" spans="1:66" s="8" customFormat="1" ht="12.75" customHeight="1" x14ac:dyDescent="0.25">
      <c r="A194" s="90">
        <v>157</v>
      </c>
      <c r="B194" s="90">
        <v>55</v>
      </c>
      <c r="C194" s="90">
        <v>10</v>
      </c>
      <c r="D194" s="90" t="s">
        <v>113</v>
      </c>
      <c r="E194" s="91" t="s">
        <v>173</v>
      </c>
      <c r="F194" s="90" t="s">
        <v>27</v>
      </c>
      <c r="G194" s="90" t="s">
        <v>12</v>
      </c>
      <c r="H194" s="90" t="s">
        <v>115</v>
      </c>
      <c r="I194" s="92" t="s">
        <v>326</v>
      </c>
      <c r="J194" s="93">
        <v>45426</v>
      </c>
      <c r="K194" s="92" t="s">
        <v>117</v>
      </c>
      <c r="L194" s="92">
        <v>282000913</v>
      </c>
      <c r="M194" s="93">
        <v>45427</v>
      </c>
      <c r="N194" s="94">
        <v>45426.760416666664</v>
      </c>
      <c r="O194" s="94">
        <v>45426.760416666664</v>
      </c>
      <c r="P194" s="94">
        <v>45426.774305555555</v>
      </c>
      <c r="Q194" s="94">
        <v>45426.96875</v>
      </c>
      <c r="R194" s="114" t="s">
        <v>118</v>
      </c>
      <c r="S194" s="114" t="s">
        <v>118</v>
      </c>
      <c r="T194" s="114"/>
      <c r="U194" s="114"/>
      <c r="V194" s="95">
        <f t="shared" si="84"/>
        <v>0.20833333333575865</v>
      </c>
      <c r="W194" s="95">
        <v>0.20833333333333334</v>
      </c>
      <c r="X194" s="95">
        <f t="shared" si="85"/>
        <v>2.4253099528692701E-12</v>
      </c>
      <c r="Y194" s="96">
        <v>0</v>
      </c>
      <c r="Z194" s="96">
        <v>57</v>
      </c>
      <c r="AA194" s="96">
        <f t="shared" si="65"/>
        <v>57</v>
      </c>
      <c r="AB194" s="97">
        <f t="shared" si="66"/>
        <v>0</v>
      </c>
      <c r="AC194" s="97">
        <f t="shared" si="67"/>
        <v>3868.74</v>
      </c>
      <c r="AD194" s="98">
        <v>3868.74</v>
      </c>
      <c r="AE194" s="98">
        <v>3953.1</v>
      </c>
      <c r="AF194" s="98">
        <v>3956.8</v>
      </c>
      <c r="AG194" s="98">
        <f t="shared" si="68"/>
        <v>88.0600000000004</v>
      </c>
      <c r="AH194" s="99">
        <v>1586.7</v>
      </c>
      <c r="AI194" s="100">
        <f t="shared" si="69"/>
        <v>6278254.5600000005</v>
      </c>
      <c r="AJ194" s="100">
        <f t="shared" si="93"/>
        <v>0</v>
      </c>
      <c r="AK194" s="100">
        <v>0</v>
      </c>
      <c r="AL194" s="100">
        <v>0</v>
      </c>
      <c r="AM194" s="100">
        <v>0</v>
      </c>
      <c r="AN194" s="100">
        <v>0</v>
      </c>
      <c r="AO194" s="100">
        <f>IFERROR(AF194*20+(((AJ194/AH194)/2)*20),0)</f>
        <v>79136</v>
      </c>
      <c r="AP194" s="100">
        <f t="shared" si="82"/>
        <v>317870</v>
      </c>
      <c r="AQ194" s="101">
        <f t="shared" si="83"/>
        <v>6675261</v>
      </c>
      <c r="AR194" s="101">
        <v>0</v>
      </c>
      <c r="AS194" s="101">
        <v>0</v>
      </c>
      <c r="AT194" s="102" t="s">
        <v>33</v>
      </c>
      <c r="AU194" s="109" t="s">
        <v>118</v>
      </c>
      <c r="AV194" s="100">
        <v>0</v>
      </c>
      <c r="AW194" s="105"/>
      <c r="AX194" s="106">
        <f t="shared" si="86"/>
        <v>2.2255357864941465</v>
      </c>
      <c r="AY194" s="101">
        <f t="shared" si="87"/>
        <v>139725</v>
      </c>
      <c r="AZ194" s="107"/>
      <c r="BA194" s="94">
        <v>45426.760416666664</v>
      </c>
      <c r="BB194" s="94">
        <v>45426.774305555555</v>
      </c>
      <c r="BC194" s="94">
        <v>45426.78125</v>
      </c>
      <c r="BD194" s="94">
        <v>45426.958333333336</v>
      </c>
      <c r="BE194" s="95">
        <f t="shared" si="88"/>
        <v>0.19791666667151731</v>
      </c>
      <c r="BF194" s="95">
        <v>0</v>
      </c>
      <c r="BG194" s="95">
        <v>6.5277777777777782E-2</v>
      </c>
      <c r="BH194" s="95">
        <f t="shared" si="89"/>
        <v>1.3888888890505768E-2</v>
      </c>
      <c r="BI194" s="95">
        <f t="shared" si="89"/>
        <v>6.9444444452528842E-3</v>
      </c>
      <c r="BJ194" s="95">
        <f t="shared" si="89"/>
        <v>0.17708333333575865</v>
      </c>
      <c r="BK194" s="95">
        <f t="shared" si="90"/>
        <v>0.18402777778101154</v>
      </c>
      <c r="BL194" s="95">
        <f t="shared" si="91"/>
        <v>0.11875000000323375</v>
      </c>
      <c r="BM194" s="95" t="str">
        <f t="shared" si="92"/>
        <v>00:00</v>
      </c>
      <c r="BN194" s="110"/>
    </row>
    <row r="195" spans="1:66" s="8" customFormat="1" ht="12.75" customHeight="1" x14ac:dyDescent="0.25">
      <c r="A195" s="90">
        <v>158</v>
      </c>
      <c r="B195" s="90">
        <v>56</v>
      </c>
      <c r="C195" s="90">
        <v>14</v>
      </c>
      <c r="D195" s="90" t="s">
        <v>148</v>
      </c>
      <c r="E195" s="91" t="s">
        <v>282</v>
      </c>
      <c r="F195" s="90" t="s">
        <v>19</v>
      </c>
      <c r="G195" s="90" t="s">
        <v>17</v>
      </c>
      <c r="H195" s="90" t="s">
        <v>150</v>
      </c>
      <c r="I195" s="92" t="s">
        <v>327</v>
      </c>
      <c r="J195" s="93">
        <v>45423</v>
      </c>
      <c r="K195" s="92" t="s">
        <v>117</v>
      </c>
      <c r="L195" s="92">
        <v>461000235</v>
      </c>
      <c r="M195" s="93">
        <v>45427</v>
      </c>
      <c r="N195" s="94">
        <v>45427.052083333336</v>
      </c>
      <c r="O195" s="94">
        <v>45427.052083333336</v>
      </c>
      <c r="P195" s="94">
        <v>45427.059027777781</v>
      </c>
      <c r="Q195" s="94">
        <v>45427.25</v>
      </c>
      <c r="R195" s="114" t="s">
        <v>118</v>
      </c>
      <c r="S195" s="114" t="s">
        <v>118</v>
      </c>
      <c r="T195" s="114"/>
      <c r="U195" s="114"/>
      <c r="V195" s="95">
        <f t="shared" si="84"/>
        <v>0.19791666666424135</v>
      </c>
      <c r="W195" s="95">
        <v>0.20833333333333334</v>
      </c>
      <c r="X195" s="95" t="str">
        <f t="shared" si="85"/>
        <v>00:00</v>
      </c>
      <c r="Y195" s="96">
        <v>7</v>
      </c>
      <c r="Z195" s="96">
        <v>51</v>
      </c>
      <c r="AA195" s="96">
        <f t="shared" si="65"/>
        <v>58</v>
      </c>
      <c r="AB195" s="97">
        <f t="shared" si="66"/>
        <v>477.27931034482759</v>
      </c>
      <c r="AC195" s="97">
        <f t="shared" si="67"/>
        <v>3477.3206896551724</v>
      </c>
      <c r="AD195" s="98">
        <v>3954.6</v>
      </c>
      <c r="AE195" s="98">
        <v>4021.1</v>
      </c>
      <c r="AF195" s="98">
        <v>4030.4</v>
      </c>
      <c r="AG195" s="98">
        <f t="shared" si="68"/>
        <v>75.800000000000182</v>
      </c>
      <c r="AH195" s="99">
        <v>672.5</v>
      </c>
      <c r="AI195" s="100">
        <f t="shared" si="69"/>
        <v>2710444</v>
      </c>
      <c r="AJ195" s="100">
        <f t="shared" si="93"/>
        <v>0</v>
      </c>
      <c r="AK195" s="100">
        <v>0</v>
      </c>
      <c r="AL195" s="100">
        <v>0</v>
      </c>
      <c r="AM195" s="100">
        <v>0</v>
      </c>
      <c r="AN195" s="100">
        <v>0</v>
      </c>
      <c r="AO195" s="100">
        <v>0</v>
      </c>
      <c r="AP195" s="100">
        <f t="shared" si="82"/>
        <v>135523</v>
      </c>
      <c r="AQ195" s="101">
        <f t="shared" si="83"/>
        <v>2845967</v>
      </c>
      <c r="AR195" s="101">
        <v>0</v>
      </c>
      <c r="AS195" s="101">
        <v>0</v>
      </c>
      <c r="AT195" s="102" t="s">
        <v>33</v>
      </c>
      <c r="AU195" s="109"/>
      <c r="AV195" s="100">
        <v>2</v>
      </c>
      <c r="AW195" s="105"/>
      <c r="AX195" s="106">
        <f t="shared" si="86"/>
        <v>1.8807066296149311</v>
      </c>
      <c r="AY195" s="101">
        <f t="shared" si="87"/>
        <v>50976</v>
      </c>
      <c r="AZ195" s="107"/>
      <c r="BA195" s="94">
        <v>45427.052083333336</v>
      </c>
      <c r="BB195" s="94">
        <v>45427.059027777781</v>
      </c>
      <c r="BC195" s="94">
        <v>45427.059027777781</v>
      </c>
      <c r="BD195" s="94">
        <v>45427.173611111109</v>
      </c>
      <c r="BE195" s="95">
        <f t="shared" si="88"/>
        <v>0.12152777777373558</v>
      </c>
      <c r="BF195" s="95">
        <v>7.6388888888888886E-3</v>
      </c>
      <c r="BG195" s="95">
        <v>0</v>
      </c>
      <c r="BH195" s="95">
        <f t="shared" si="89"/>
        <v>6.9444444452528842E-3</v>
      </c>
      <c r="BI195" s="95">
        <f t="shared" si="89"/>
        <v>0</v>
      </c>
      <c r="BJ195" s="95">
        <f t="shared" si="89"/>
        <v>0.11458333332848269</v>
      </c>
      <c r="BK195" s="95">
        <f t="shared" si="90"/>
        <v>0.11458333332848269</v>
      </c>
      <c r="BL195" s="95">
        <f t="shared" si="91"/>
        <v>0.10694444443959381</v>
      </c>
      <c r="BM195" s="95" t="str">
        <f t="shared" si="92"/>
        <v>00:00</v>
      </c>
      <c r="BN195" s="110"/>
    </row>
    <row r="196" spans="1:66" s="8" customFormat="1" ht="12.75" customHeight="1" x14ac:dyDescent="0.25">
      <c r="A196" s="90">
        <v>159</v>
      </c>
      <c r="B196" s="90">
        <v>57</v>
      </c>
      <c r="C196" s="90">
        <v>15</v>
      </c>
      <c r="D196" s="90" t="s">
        <v>148</v>
      </c>
      <c r="E196" s="91" t="s">
        <v>282</v>
      </c>
      <c r="F196" s="90" t="s">
        <v>19</v>
      </c>
      <c r="G196" s="90" t="s">
        <v>17</v>
      </c>
      <c r="H196" s="90" t="s">
        <v>150</v>
      </c>
      <c r="I196" s="92" t="s">
        <v>328</v>
      </c>
      <c r="J196" s="93">
        <v>45423</v>
      </c>
      <c r="K196" s="92" t="s">
        <v>122</v>
      </c>
      <c r="L196" s="92">
        <v>461000236</v>
      </c>
      <c r="M196" s="93">
        <v>45427</v>
      </c>
      <c r="N196" s="94">
        <v>45427.197916666664</v>
      </c>
      <c r="O196" s="94">
        <v>45427.197916666664</v>
      </c>
      <c r="P196" s="94">
        <v>45427.201388888891</v>
      </c>
      <c r="Q196" s="94">
        <v>45427.40625</v>
      </c>
      <c r="R196" s="114" t="s">
        <v>118</v>
      </c>
      <c r="S196" s="114" t="s">
        <v>118</v>
      </c>
      <c r="T196" s="114"/>
      <c r="U196" s="114"/>
      <c r="V196" s="95">
        <f t="shared" si="84"/>
        <v>0.20833333333575865</v>
      </c>
      <c r="W196" s="95">
        <v>0.20833333333333334</v>
      </c>
      <c r="X196" s="95">
        <f t="shared" si="85"/>
        <v>2.4253099528692701E-12</v>
      </c>
      <c r="Y196" s="96">
        <v>0</v>
      </c>
      <c r="Z196" s="96">
        <v>58</v>
      </c>
      <c r="AA196" s="96">
        <f t="shared" si="65"/>
        <v>58</v>
      </c>
      <c r="AB196" s="97">
        <f t="shared" si="66"/>
        <v>0</v>
      </c>
      <c r="AC196" s="97">
        <f t="shared" si="67"/>
        <v>4021.1000000000004</v>
      </c>
      <c r="AD196" s="98">
        <v>4021.1</v>
      </c>
      <c r="AE196" s="98">
        <v>4037</v>
      </c>
      <c r="AF196" s="98">
        <v>4055</v>
      </c>
      <c r="AG196" s="98">
        <f t="shared" si="68"/>
        <v>33.900000000000091</v>
      </c>
      <c r="AH196" s="99">
        <v>672.5</v>
      </c>
      <c r="AI196" s="100">
        <f t="shared" si="69"/>
        <v>2726987.5</v>
      </c>
      <c r="AJ196" s="100">
        <f t="shared" si="93"/>
        <v>0</v>
      </c>
      <c r="AK196" s="100">
        <v>0</v>
      </c>
      <c r="AL196" s="100">
        <v>48280</v>
      </c>
      <c r="AM196" s="100">
        <v>0</v>
      </c>
      <c r="AN196" s="100">
        <v>0</v>
      </c>
      <c r="AO196" s="100">
        <v>0</v>
      </c>
      <c r="AP196" s="100">
        <f t="shared" si="82"/>
        <v>138764</v>
      </c>
      <c r="AQ196" s="101">
        <f t="shared" si="83"/>
        <v>2914032</v>
      </c>
      <c r="AR196" s="101">
        <v>0</v>
      </c>
      <c r="AS196" s="101">
        <v>0</v>
      </c>
      <c r="AT196" s="102" t="s">
        <v>34</v>
      </c>
      <c r="AU196" s="109"/>
      <c r="AV196" s="100">
        <v>8</v>
      </c>
      <c r="AW196" s="105"/>
      <c r="AX196" s="106">
        <f t="shared" si="86"/>
        <v>0.83600493218249294</v>
      </c>
      <c r="AY196" s="101">
        <f t="shared" si="87"/>
        <v>22798</v>
      </c>
      <c r="AZ196" s="107"/>
      <c r="BA196" s="94">
        <v>45427.197916666664</v>
      </c>
      <c r="BB196" s="94">
        <v>45427.201388888891</v>
      </c>
      <c r="BC196" s="94">
        <v>45427.201388888891</v>
      </c>
      <c r="BD196" s="94">
        <v>45427.366666666669</v>
      </c>
      <c r="BE196" s="95">
        <f t="shared" si="88"/>
        <v>0.16875000000436557</v>
      </c>
      <c r="BF196" s="95">
        <v>3.888888888888889E-2</v>
      </c>
      <c r="BG196" s="95">
        <v>0</v>
      </c>
      <c r="BH196" s="95">
        <f t="shared" si="89"/>
        <v>3.4722222262644209E-3</v>
      </c>
      <c r="BI196" s="95">
        <f t="shared" si="89"/>
        <v>0</v>
      </c>
      <c r="BJ196" s="95">
        <f t="shared" si="89"/>
        <v>0.16527777777810115</v>
      </c>
      <c r="BK196" s="95">
        <f t="shared" si="90"/>
        <v>0.16527777777810115</v>
      </c>
      <c r="BL196" s="95">
        <f t="shared" si="91"/>
        <v>0.12638888888921226</v>
      </c>
      <c r="BM196" s="95" t="str">
        <f t="shared" si="92"/>
        <v>00:00</v>
      </c>
      <c r="BN196" s="110"/>
    </row>
    <row r="197" spans="1:66" s="8" customFormat="1" ht="12.75" customHeight="1" x14ac:dyDescent="0.25">
      <c r="A197" s="90">
        <v>160</v>
      </c>
      <c r="B197" s="90">
        <v>58</v>
      </c>
      <c r="C197" s="90">
        <v>4</v>
      </c>
      <c r="D197" s="90" t="s">
        <v>113</v>
      </c>
      <c r="E197" s="91" t="s">
        <v>319</v>
      </c>
      <c r="F197" s="90" t="s">
        <v>32</v>
      </c>
      <c r="G197" s="90" t="s">
        <v>8</v>
      </c>
      <c r="H197" s="90" t="s">
        <v>201</v>
      </c>
      <c r="I197" s="92" t="s">
        <v>329</v>
      </c>
      <c r="J197" s="93">
        <v>45424</v>
      </c>
      <c r="K197" s="92" t="s">
        <v>117</v>
      </c>
      <c r="L197" s="92">
        <v>262009665</v>
      </c>
      <c r="M197" s="93">
        <v>45427</v>
      </c>
      <c r="N197" s="94">
        <v>45427.479166666664</v>
      </c>
      <c r="O197" s="94">
        <v>45427.479166666664</v>
      </c>
      <c r="P197" s="94">
        <v>45427.482638888891</v>
      </c>
      <c r="Q197" s="94">
        <v>45427.65625</v>
      </c>
      <c r="R197" s="114" t="s">
        <v>118</v>
      </c>
      <c r="S197" s="114" t="s">
        <v>118</v>
      </c>
      <c r="T197" s="114"/>
      <c r="U197" s="114"/>
      <c r="V197" s="95">
        <f t="shared" si="84"/>
        <v>0.17708333333575865</v>
      </c>
      <c r="W197" s="95">
        <v>0.20833333333333334</v>
      </c>
      <c r="X197" s="95" t="str">
        <f t="shared" si="85"/>
        <v>00:00</v>
      </c>
      <c r="Y197" s="96">
        <v>0</v>
      </c>
      <c r="Z197" s="96">
        <v>58</v>
      </c>
      <c r="AA197" s="96">
        <f t="shared" si="65"/>
        <v>58</v>
      </c>
      <c r="AB197" s="97">
        <f t="shared" si="66"/>
        <v>0</v>
      </c>
      <c r="AC197" s="97">
        <f t="shared" si="67"/>
        <v>3982.29</v>
      </c>
      <c r="AD197" s="98">
        <v>3982.29</v>
      </c>
      <c r="AE197" s="98">
        <v>4039</v>
      </c>
      <c r="AF197" s="98">
        <v>4048.6</v>
      </c>
      <c r="AG197" s="98">
        <f t="shared" si="68"/>
        <v>66.309999999999945</v>
      </c>
      <c r="AH197" s="99">
        <v>2230.6999999999998</v>
      </c>
      <c r="AI197" s="100">
        <f t="shared" si="69"/>
        <v>9031212.0199999996</v>
      </c>
      <c r="AJ197" s="100">
        <f t="shared" si="93"/>
        <v>0</v>
      </c>
      <c r="AK197" s="100">
        <v>0</v>
      </c>
      <c r="AL197" s="100">
        <v>24140</v>
      </c>
      <c r="AM197" s="100">
        <v>0</v>
      </c>
      <c r="AN197" s="100">
        <v>0</v>
      </c>
      <c r="AO197" s="100">
        <v>0</v>
      </c>
      <c r="AP197" s="100">
        <f t="shared" si="82"/>
        <v>452768</v>
      </c>
      <c r="AQ197" s="101">
        <f t="shared" si="83"/>
        <v>9508121</v>
      </c>
      <c r="AR197" s="101">
        <v>0</v>
      </c>
      <c r="AS197" s="101">
        <v>0</v>
      </c>
      <c r="AT197" s="102" t="s">
        <v>34</v>
      </c>
      <c r="AU197" s="109"/>
      <c r="AV197" s="100">
        <v>3.5</v>
      </c>
      <c r="AW197" s="105"/>
      <c r="AX197" s="106">
        <f t="shared" si="86"/>
        <v>1.6378501210294902</v>
      </c>
      <c r="AY197" s="101">
        <f t="shared" si="87"/>
        <v>147918</v>
      </c>
      <c r="AZ197" s="107"/>
      <c r="BA197" s="94">
        <v>45427.479166666664</v>
      </c>
      <c r="BB197" s="94">
        <v>45427.482638888891</v>
      </c>
      <c r="BC197" s="94">
        <v>45427.506944444445</v>
      </c>
      <c r="BD197" s="94">
        <v>45427.635416666664</v>
      </c>
      <c r="BE197" s="95">
        <f t="shared" si="88"/>
        <v>0.15625</v>
      </c>
      <c r="BF197" s="95">
        <v>2.4305555555555556E-2</v>
      </c>
      <c r="BG197" s="95">
        <v>0</v>
      </c>
      <c r="BH197" s="95">
        <f t="shared" si="89"/>
        <v>3.4722222262644209E-3</v>
      </c>
      <c r="BI197" s="95">
        <f t="shared" si="89"/>
        <v>2.4305555554747116E-2</v>
      </c>
      <c r="BJ197" s="95">
        <f t="shared" si="89"/>
        <v>0.12847222221898846</v>
      </c>
      <c r="BK197" s="95">
        <f t="shared" si="90"/>
        <v>0.15277777777373558</v>
      </c>
      <c r="BL197" s="95">
        <f t="shared" si="91"/>
        <v>0.12847222221818003</v>
      </c>
      <c r="BM197" s="95" t="str">
        <f t="shared" si="92"/>
        <v>00:00</v>
      </c>
      <c r="BN197" s="110"/>
    </row>
    <row r="198" spans="1:66" s="8" customFormat="1" ht="12.75" customHeight="1" x14ac:dyDescent="0.25">
      <c r="A198" s="90">
        <v>161</v>
      </c>
      <c r="B198" s="90">
        <v>59</v>
      </c>
      <c r="C198" s="90">
        <v>16</v>
      </c>
      <c r="D198" s="90" t="s">
        <v>148</v>
      </c>
      <c r="E198" s="91" t="s">
        <v>282</v>
      </c>
      <c r="F198" s="90" t="s">
        <v>19</v>
      </c>
      <c r="G198" s="90" t="s">
        <v>17</v>
      </c>
      <c r="H198" s="90" t="s">
        <v>150</v>
      </c>
      <c r="I198" s="92" t="s">
        <v>330</v>
      </c>
      <c r="J198" s="93">
        <v>45426</v>
      </c>
      <c r="K198" s="92" t="s">
        <v>122</v>
      </c>
      <c r="L198" s="92">
        <v>461000237</v>
      </c>
      <c r="M198" s="93">
        <v>45428</v>
      </c>
      <c r="N198" s="94">
        <v>45427.78125</v>
      </c>
      <c r="O198" s="94">
        <v>45427.78125</v>
      </c>
      <c r="P198" s="94">
        <v>45427.784722222219</v>
      </c>
      <c r="Q198" s="94">
        <v>45427.989583333336</v>
      </c>
      <c r="R198" s="114" t="s">
        <v>118</v>
      </c>
      <c r="S198" s="114" t="s">
        <v>118</v>
      </c>
      <c r="T198" s="114"/>
      <c r="U198" s="114"/>
      <c r="V198" s="95">
        <f t="shared" si="84"/>
        <v>0.20833333333575865</v>
      </c>
      <c r="W198" s="95">
        <v>0.20833333333333334</v>
      </c>
      <c r="X198" s="95">
        <f t="shared" si="85"/>
        <v>2.4253099528692701E-12</v>
      </c>
      <c r="Y198" s="96">
        <v>0</v>
      </c>
      <c r="Z198" s="96">
        <v>58</v>
      </c>
      <c r="AA198" s="96">
        <f t="shared" si="65"/>
        <v>58</v>
      </c>
      <c r="AB198" s="97">
        <f t="shared" si="66"/>
        <v>0</v>
      </c>
      <c r="AC198" s="97">
        <f t="shared" si="67"/>
        <v>3992.4700000000003</v>
      </c>
      <c r="AD198" s="98">
        <v>3992.47</v>
      </c>
      <c r="AE198" s="98">
        <v>4030.4</v>
      </c>
      <c r="AF198" s="98">
        <v>4040.2</v>
      </c>
      <c r="AG198" s="98">
        <f t="shared" si="68"/>
        <v>47.730000000000018</v>
      </c>
      <c r="AH198" s="99">
        <v>672.5</v>
      </c>
      <c r="AI198" s="100">
        <f t="shared" si="69"/>
        <v>2717034.5</v>
      </c>
      <c r="AJ198" s="100">
        <f t="shared" si="93"/>
        <v>0</v>
      </c>
      <c r="AK198" s="100">
        <v>0</v>
      </c>
      <c r="AL198" s="100">
        <v>0</v>
      </c>
      <c r="AM198" s="100">
        <v>0</v>
      </c>
      <c r="AN198" s="100">
        <v>0</v>
      </c>
      <c r="AO198" s="100">
        <v>0</v>
      </c>
      <c r="AP198" s="100">
        <f t="shared" si="82"/>
        <v>135852</v>
      </c>
      <c r="AQ198" s="101">
        <f t="shared" si="83"/>
        <v>2852887</v>
      </c>
      <c r="AR198" s="101">
        <v>0</v>
      </c>
      <c r="AS198" s="101">
        <v>0</v>
      </c>
      <c r="AT198" s="102" t="s">
        <v>34</v>
      </c>
      <c r="AU198" s="109"/>
      <c r="AV198" s="100">
        <v>4</v>
      </c>
      <c r="AW198" s="105"/>
      <c r="AX198" s="106">
        <f t="shared" si="86"/>
        <v>1.1813771595465576</v>
      </c>
      <c r="AY198" s="101">
        <f t="shared" si="87"/>
        <v>32099</v>
      </c>
      <c r="AZ198" s="107"/>
      <c r="BA198" s="94">
        <v>45427.78125</v>
      </c>
      <c r="BB198" s="94">
        <v>45427.784722222219</v>
      </c>
      <c r="BC198" s="94">
        <v>45427.784722222219</v>
      </c>
      <c r="BD198" s="94">
        <v>45427.947916666664</v>
      </c>
      <c r="BE198" s="95">
        <f t="shared" si="88"/>
        <v>0.16666666666424135</v>
      </c>
      <c r="BF198" s="95">
        <v>2.7777777777777776E-2</v>
      </c>
      <c r="BG198" s="95">
        <v>5.5555555555555558E-3</v>
      </c>
      <c r="BH198" s="95">
        <f t="shared" si="89"/>
        <v>3.4722222189884633E-3</v>
      </c>
      <c r="BI198" s="95">
        <f t="shared" si="89"/>
        <v>0</v>
      </c>
      <c r="BJ198" s="95">
        <f t="shared" si="89"/>
        <v>0.16319444444525288</v>
      </c>
      <c r="BK198" s="95">
        <f t="shared" si="90"/>
        <v>0.16319444444525288</v>
      </c>
      <c r="BL198" s="95">
        <f t="shared" si="91"/>
        <v>0.12986111111191953</v>
      </c>
      <c r="BM198" s="95" t="str">
        <f t="shared" si="92"/>
        <v>00:00</v>
      </c>
      <c r="BN198" s="110"/>
    </row>
    <row r="199" spans="1:66" s="8" customFormat="1" ht="12.75" customHeight="1" x14ac:dyDescent="0.25">
      <c r="A199" s="90">
        <v>162</v>
      </c>
      <c r="B199" s="90">
        <v>60</v>
      </c>
      <c r="C199" s="90">
        <v>11</v>
      </c>
      <c r="D199" s="90" t="s">
        <v>113</v>
      </c>
      <c r="E199" s="91" t="s">
        <v>137</v>
      </c>
      <c r="F199" s="90" t="s">
        <v>27</v>
      </c>
      <c r="G199" s="90" t="s">
        <v>12</v>
      </c>
      <c r="H199" s="90" t="s">
        <v>115</v>
      </c>
      <c r="I199" s="92" t="s">
        <v>331</v>
      </c>
      <c r="J199" s="93">
        <v>45426</v>
      </c>
      <c r="K199" s="92" t="s">
        <v>117</v>
      </c>
      <c r="L199" s="92">
        <v>282000915</v>
      </c>
      <c r="M199" s="93">
        <v>45428</v>
      </c>
      <c r="N199" s="94">
        <v>45428.083333333336</v>
      </c>
      <c r="O199" s="94">
        <v>45428.083333333336</v>
      </c>
      <c r="P199" s="94">
        <v>45428.09375</v>
      </c>
      <c r="Q199" s="94">
        <v>45428.291666666664</v>
      </c>
      <c r="R199" s="114" t="s">
        <v>118</v>
      </c>
      <c r="S199" s="114" t="s">
        <v>332</v>
      </c>
      <c r="T199" s="114"/>
      <c r="U199" s="114"/>
      <c r="V199" s="95">
        <f t="shared" si="84"/>
        <v>0.20833333332848269</v>
      </c>
      <c r="W199" s="95">
        <v>0.20833333333333334</v>
      </c>
      <c r="X199" s="95" t="str">
        <f t="shared" si="85"/>
        <v>00:00</v>
      </c>
      <c r="Y199" s="96">
        <v>0</v>
      </c>
      <c r="Z199" s="96">
        <v>57</v>
      </c>
      <c r="AA199" s="96">
        <f t="shared" si="65"/>
        <v>57</v>
      </c>
      <c r="AB199" s="97">
        <f t="shared" si="66"/>
        <v>0</v>
      </c>
      <c r="AC199" s="97">
        <f t="shared" si="67"/>
        <v>3859.33</v>
      </c>
      <c r="AD199" s="98">
        <v>3859.33</v>
      </c>
      <c r="AE199" s="98">
        <v>3948.4</v>
      </c>
      <c r="AF199" s="98">
        <v>3952</v>
      </c>
      <c r="AG199" s="98">
        <f t="shared" si="68"/>
        <v>92.670000000000073</v>
      </c>
      <c r="AH199" s="99">
        <v>1586.7</v>
      </c>
      <c r="AI199" s="100">
        <f t="shared" si="69"/>
        <v>6270638.4000000004</v>
      </c>
      <c r="AJ199" s="100">
        <f t="shared" si="93"/>
        <v>0</v>
      </c>
      <c r="AK199" s="100">
        <v>0</v>
      </c>
      <c r="AL199" s="100">
        <v>0</v>
      </c>
      <c r="AM199" s="100">
        <v>0</v>
      </c>
      <c r="AN199" s="100">
        <v>0</v>
      </c>
      <c r="AO199" s="100">
        <f>IFERROR(AF199*20+(((AJ199/AH199)/2)*20),0)</f>
        <v>79040</v>
      </c>
      <c r="AP199" s="100">
        <f t="shared" si="82"/>
        <v>317484</v>
      </c>
      <c r="AQ199" s="101">
        <f t="shared" si="83"/>
        <v>6667163</v>
      </c>
      <c r="AR199" s="101">
        <v>0</v>
      </c>
      <c r="AS199" s="101">
        <v>0</v>
      </c>
      <c r="AT199" s="102" t="s">
        <v>34</v>
      </c>
      <c r="AU199" s="109" t="s">
        <v>118</v>
      </c>
      <c r="AV199" s="100">
        <v>0</v>
      </c>
      <c r="AW199" s="105"/>
      <c r="AX199" s="106">
        <f t="shared" si="86"/>
        <v>2.344888663967613</v>
      </c>
      <c r="AY199" s="101">
        <f t="shared" si="87"/>
        <v>147040</v>
      </c>
      <c r="AZ199" s="107"/>
      <c r="BA199" s="94">
        <v>45428.083333333336</v>
      </c>
      <c r="BB199" s="94">
        <v>45428.09375</v>
      </c>
      <c r="BC199" s="94">
        <v>45428.107638888891</v>
      </c>
      <c r="BD199" s="94">
        <v>45428.357638888891</v>
      </c>
      <c r="BE199" s="95">
        <f t="shared" si="88"/>
        <v>0.27430555555474712</v>
      </c>
      <c r="BF199" s="95">
        <v>1.1805555555555555E-2</v>
      </c>
      <c r="BG199" s="95">
        <v>0.14583333333333334</v>
      </c>
      <c r="BH199" s="95">
        <f t="shared" si="89"/>
        <v>1.0416666664241347E-2</v>
      </c>
      <c r="BI199" s="95">
        <f t="shared" si="89"/>
        <v>1.3888888890505768E-2</v>
      </c>
      <c r="BJ199" s="95">
        <f t="shared" si="89"/>
        <v>0.25</v>
      </c>
      <c r="BK199" s="95">
        <f t="shared" si="90"/>
        <v>0.26388888889050577</v>
      </c>
      <c r="BL199" s="95">
        <f t="shared" si="91"/>
        <v>0.10625000000161686</v>
      </c>
      <c r="BM199" s="95">
        <f t="shared" si="92"/>
        <v>6.5972222221413773E-2</v>
      </c>
      <c r="BN199" s="110"/>
    </row>
    <row r="200" spans="1:66" s="8" customFormat="1" ht="12.75" customHeight="1" x14ac:dyDescent="0.25">
      <c r="A200" s="90">
        <v>163</v>
      </c>
      <c r="B200" s="90">
        <v>61</v>
      </c>
      <c r="C200" s="90">
        <v>17</v>
      </c>
      <c r="D200" s="90" t="s">
        <v>148</v>
      </c>
      <c r="E200" s="91" t="s">
        <v>282</v>
      </c>
      <c r="F200" s="90" t="s">
        <v>19</v>
      </c>
      <c r="G200" s="90" t="s">
        <v>17</v>
      </c>
      <c r="H200" s="90" t="s">
        <v>150</v>
      </c>
      <c r="I200" s="92" t="s">
        <v>189</v>
      </c>
      <c r="J200" s="93">
        <v>45426</v>
      </c>
      <c r="K200" s="92" t="s">
        <v>122</v>
      </c>
      <c r="L200" s="92">
        <v>461000238</v>
      </c>
      <c r="M200" s="93">
        <v>45428</v>
      </c>
      <c r="N200" s="94">
        <v>45428.270833333336</v>
      </c>
      <c r="O200" s="94">
        <v>45428.270833333336</v>
      </c>
      <c r="P200" s="94">
        <v>45428.274305555555</v>
      </c>
      <c r="Q200" s="94">
        <v>45428.479166666664</v>
      </c>
      <c r="R200" s="114" t="s">
        <v>118</v>
      </c>
      <c r="S200" s="114">
        <v>45428.520833333336</v>
      </c>
      <c r="T200" s="114"/>
      <c r="U200" s="114"/>
      <c r="V200" s="95">
        <f t="shared" si="84"/>
        <v>0.20833333332848269</v>
      </c>
      <c r="W200" s="95">
        <v>0.20833333333333334</v>
      </c>
      <c r="X200" s="95" t="str">
        <f t="shared" si="85"/>
        <v>00:00</v>
      </c>
      <c r="Y200" s="96">
        <v>0</v>
      </c>
      <c r="Z200" s="96">
        <v>58</v>
      </c>
      <c r="AA200" s="96">
        <f t="shared" si="65"/>
        <v>58</v>
      </c>
      <c r="AB200" s="97">
        <f t="shared" si="66"/>
        <v>0</v>
      </c>
      <c r="AC200" s="97">
        <f t="shared" si="67"/>
        <v>4025.3</v>
      </c>
      <c r="AD200" s="98">
        <v>4025.3</v>
      </c>
      <c r="AE200" s="98">
        <v>4060</v>
      </c>
      <c r="AF200" s="98">
        <v>4075.2</v>
      </c>
      <c r="AG200" s="98">
        <f t="shared" si="68"/>
        <v>49.899999999999636</v>
      </c>
      <c r="AH200" s="99">
        <v>672.5</v>
      </c>
      <c r="AI200" s="100">
        <f t="shared" si="69"/>
        <v>2740572</v>
      </c>
      <c r="AJ200" s="100">
        <f t="shared" si="93"/>
        <v>0</v>
      </c>
      <c r="AK200" s="100">
        <v>0</v>
      </c>
      <c r="AL200" s="100">
        <v>48280</v>
      </c>
      <c r="AM200" s="100">
        <v>0</v>
      </c>
      <c r="AN200" s="100">
        <v>0</v>
      </c>
      <c r="AO200" s="100">
        <v>0</v>
      </c>
      <c r="AP200" s="100">
        <f t="shared" si="82"/>
        <v>139443</v>
      </c>
      <c r="AQ200" s="101">
        <f t="shared" si="83"/>
        <v>2928295</v>
      </c>
      <c r="AR200" s="101">
        <v>0</v>
      </c>
      <c r="AS200" s="101">
        <v>0</v>
      </c>
      <c r="AT200" s="102" t="s">
        <v>34</v>
      </c>
      <c r="AU200" s="109"/>
      <c r="AV200" s="100">
        <v>5.5</v>
      </c>
      <c r="AW200" s="105"/>
      <c r="AX200" s="106">
        <f t="shared" si="86"/>
        <v>1.2244797801334815</v>
      </c>
      <c r="AY200" s="101">
        <f t="shared" si="87"/>
        <v>33558</v>
      </c>
      <c r="AZ200" s="107"/>
      <c r="BA200" s="94">
        <v>45428.270833333336</v>
      </c>
      <c r="BB200" s="94">
        <v>45428.274305555555</v>
      </c>
      <c r="BC200" s="94">
        <v>45428.388888888891</v>
      </c>
      <c r="BD200" s="94">
        <v>45428.510416666664</v>
      </c>
      <c r="BE200" s="95">
        <f t="shared" si="88"/>
        <v>0.23958333332848269</v>
      </c>
      <c r="BF200" s="95">
        <v>1.7361111111111112E-2</v>
      </c>
      <c r="BG200" s="95">
        <v>9.7222222222222224E-2</v>
      </c>
      <c r="BH200" s="95">
        <f t="shared" si="89"/>
        <v>3.4722222189884633E-3</v>
      </c>
      <c r="BI200" s="95">
        <f t="shared" si="89"/>
        <v>0.11458333333575865</v>
      </c>
      <c r="BJ200" s="95">
        <f t="shared" si="89"/>
        <v>0.12152777777373558</v>
      </c>
      <c r="BK200" s="95">
        <f t="shared" si="90"/>
        <v>0.23611111110949423</v>
      </c>
      <c r="BL200" s="95">
        <f t="shared" si="91"/>
        <v>0.1215277777761609</v>
      </c>
      <c r="BM200" s="95">
        <f t="shared" si="92"/>
        <v>3.1249999995149352E-2</v>
      </c>
      <c r="BN200" s="110"/>
    </row>
    <row r="201" spans="1:66" s="8" customFormat="1" ht="12.75" customHeight="1" x14ac:dyDescent="0.25">
      <c r="A201" s="90">
        <v>164</v>
      </c>
      <c r="B201" s="90">
        <v>62</v>
      </c>
      <c r="C201" s="90">
        <v>5</v>
      </c>
      <c r="D201" s="90" t="s">
        <v>113</v>
      </c>
      <c r="E201" s="91" t="s">
        <v>296</v>
      </c>
      <c r="F201" s="90" t="s">
        <v>32</v>
      </c>
      <c r="G201" s="90" t="s">
        <v>15</v>
      </c>
      <c r="H201" s="90" t="s">
        <v>135</v>
      </c>
      <c r="I201" s="92" t="s">
        <v>333</v>
      </c>
      <c r="J201" s="93">
        <v>45427</v>
      </c>
      <c r="K201" s="92" t="s">
        <v>117</v>
      </c>
      <c r="L201" s="92">
        <v>261005727</v>
      </c>
      <c r="M201" s="93">
        <v>45428</v>
      </c>
      <c r="N201" s="94">
        <v>45428.520833333336</v>
      </c>
      <c r="O201" s="94">
        <v>45428.520833333336</v>
      </c>
      <c r="P201" s="94">
        <v>45428.524305555555</v>
      </c>
      <c r="Q201" s="94">
        <v>45428.71875</v>
      </c>
      <c r="R201" s="114" t="s">
        <v>118</v>
      </c>
      <c r="S201" s="114" t="s">
        <v>118</v>
      </c>
      <c r="T201" s="114"/>
      <c r="U201" s="114"/>
      <c r="V201" s="95">
        <f t="shared" si="84"/>
        <v>0.19791666666424135</v>
      </c>
      <c r="W201" s="95">
        <v>0.20833333333333334</v>
      </c>
      <c r="X201" s="95" t="str">
        <f t="shared" si="85"/>
        <v>00:00</v>
      </c>
      <c r="Y201" s="96">
        <v>0</v>
      </c>
      <c r="Z201" s="96">
        <v>58</v>
      </c>
      <c r="AA201" s="96">
        <f t="shared" si="65"/>
        <v>58</v>
      </c>
      <c r="AB201" s="97">
        <f t="shared" si="66"/>
        <v>0</v>
      </c>
      <c r="AC201" s="97">
        <f t="shared" si="67"/>
        <v>3837.11</v>
      </c>
      <c r="AD201" s="98">
        <v>3837.11</v>
      </c>
      <c r="AE201" s="98">
        <v>4012.9</v>
      </c>
      <c r="AF201" s="98">
        <v>4013</v>
      </c>
      <c r="AG201" s="98">
        <f t="shared" si="68"/>
        <v>175.88999999999987</v>
      </c>
      <c r="AH201" s="99">
        <v>797.2</v>
      </c>
      <c r="AI201" s="100">
        <f t="shared" si="69"/>
        <v>3199163.6</v>
      </c>
      <c r="AJ201" s="100">
        <f t="shared" si="93"/>
        <v>0</v>
      </c>
      <c r="AK201" s="100">
        <v>0</v>
      </c>
      <c r="AL201" s="100">
        <v>0</v>
      </c>
      <c r="AM201" s="100">
        <v>0</v>
      </c>
      <c r="AN201" s="100">
        <v>0</v>
      </c>
      <c r="AO201" s="100">
        <v>0</v>
      </c>
      <c r="AP201" s="100">
        <f t="shared" si="82"/>
        <v>159959</v>
      </c>
      <c r="AQ201" s="101">
        <f t="shared" si="83"/>
        <v>3359123</v>
      </c>
      <c r="AR201" s="101">
        <v>0</v>
      </c>
      <c r="AS201" s="101">
        <v>0</v>
      </c>
      <c r="AT201" s="102" t="s">
        <v>33</v>
      </c>
      <c r="AU201" s="109" t="s">
        <v>118</v>
      </c>
      <c r="AV201" s="100">
        <v>0</v>
      </c>
      <c r="AW201" s="105"/>
      <c r="AX201" s="106">
        <f t="shared" si="86"/>
        <v>4.3830052329927707</v>
      </c>
      <c r="AY201" s="101">
        <f t="shared" si="87"/>
        <v>140220</v>
      </c>
      <c r="AZ201" s="107"/>
      <c r="BA201" s="94">
        <v>45428.520833333336</v>
      </c>
      <c r="BB201" s="94">
        <v>45428.524305555555</v>
      </c>
      <c r="BC201" s="94">
        <v>45428.555555555555</v>
      </c>
      <c r="BD201" s="94">
        <v>45428.712500000001</v>
      </c>
      <c r="BE201" s="95">
        <f t="shared" si="88"/>
        <v>0.19166666666569654</v>
      </c>
      <c r="BF201" s="95">
        <v>9.0277777777777769E-3</v>
      </c>
      <c r="BG201" s="95">
        <v>8.1944444444444445E-2</v>
      </c>
      <c r="BH201" s="95">
        <f t="shared" si="89"/>
        <v>3.4722222189884633E-3</v>
      </c>
      <c r="BI201" s="95">
        <f t="shared" si="89"/>
        <v>3.125E-2</v>
      </c>
      <c r="BJ201" s="95">
        <f t="shared" si="89"/>
        <v>0.15694444444670808</v>
      </c>
      <c r="BK201" s="95">
        <f t="shared" si="90"/>
        <v>0.18819444444670808</v>
      </c>
      <c r="BL201" s="95">
        <f t="shared" si="91"/>
        <v>9.7222222224485857E-2</v>
      </c>
      <c r="BM201" s="95" t="str">
        <f t="shared" si="92"/>
        <v>00:00</v>
      </c>
      <c r="BN201" s="110"/>
    </row>
    <row r="202" spans="1:66" s="8" customFormat="1" ht="12.75" customHeight="1" x14ac:dyDescent="0.25">
      <c r="A202" s="90">
        <v>165</v>
      </c>
      <c r="B202" s="90">
        <v>63</v>
      </c>
      <c r="C202" s="90">
        <v>18</v>
      </c>
      <c r="D202" s="90" t="s">
        <v>148</v>
      </c>
      <c r="E202" s="91" t="s">
        <v>282</v>
      </c>
      <c r="F202" s="90" t="s">
        <v>19</v>
      </c>
      <c r="G202" s="90" t="s">
        <v>17</v>
      </c>
      <c r="H202" s="90" t="s">
        <v>150</v>
      </c>
      <c r="I202" s="92" t="s">
        <v>334</v>
      </c>
      <c r="J202" s="93">
        <v>45426</v>
      </c>
      <c r="K202" s="92" t="s">
        <v>122</v>
      </c>
      <c r="L202" s="92">
        <v>461000239</v>
      </c>
      <c r="M202" s="93">
        <v>45429</v>
      </c>
      <c r="N202" s="94">
        <v>45428.677083333336</v>
      </c>
      <c r="O202" s="94">
        <v>45428.677083333336</v>
      </c>
      <c r="P202" s="94">
        <v>45428.680555555555</v>
      </c>
      <c r="Q202" s="94">
        <v>45428.885416666664</v>
      </c>
      <c r="R202" s="114" t="s">
        <v>118</v>
      </c>
      <c r="S202" s="114">
        <v>45428.909722222219</v>
      </c>
      <c r="T202" s="114"/>
      <c r="U202" s="114"/>
      <c r="V202" s="95">
        <f t="shared" si="84"/>
        <v>0.20833333332848269</v>
      </c>
      <c r="W202" s="95">
        <v>0.20833333333333334</v>
      </c>
      <c r="X202" s="95" t="str">
        <f t="shared" si="85"/>
        <v>00:00</v>
      </c>
      <c r="Y202" s="96">
        <v>0</v>
      </c>
      <c r="Z202" s="96">
        <v>59</v>
      </c>
      <c r="AA202" s="96">
        <f t="shared" si="65"/>
        <v>59</v>
      </c>
      <c r="AB202" s="97">
        <f t="shared" si="66"/>
        <v>0</v>
      </c>
      <c r="AC202" s="97">
        <f t="shared" si="67"/>
        <v>4096.33</v>
      </c>
      <c r="AD202" s="98">
        <v>4096.33</v>
      </c>
      <c r="AE202" s="98">
        <v>4097</v>
      </c>
      <c r="AF202" s="98">
        <v>4121.8</v>
      </c>
      <c r="AG202" s="98">
        <f t="shared" si="68"/>
        <v>25.470000000000255</v>
      </c>
      <c r="AH202" s="99">
        <v>672.5</v>
      </c>
      <c r="AI202" s="100">
        <f t="shared" si="69"/>
        <v>2771910.5</v>
      </c>
      <c r="AJ202" s="100">
        <f t="shared" si="93"/>
        <v>0</v>
      </c>
      <c r="AK202" s="100">
        <v>0</v>
      </c>
      <c r="AL202" s="100">
        <v>24290</v>
      </c>
      <c r="AM202" s="100">
        <v>0</v>
      </c>
      <c r="AN202" s="100">
        <v>0</v>
      </c>
      <c r="AO202" s="100">
        <v>0</v>
      </c>
      <c r="AP202" s="100">
        <f t="shared" si="82"/>
        <v>139811</v>
      </c>
      <c r="AQ202" s="101">
        <f t="shared" si="83"/>
        <v>2936012</v>
      </c>
      <c r="AR202" s="101">
        <v>0</v>
      </c>
      <c r="AS202" s="101">
        <v>0</v>
      </c>
      <c r="AT202" s="102" t="s">
        <v>34</v>
      </c>
      <c r="AU202" s="109"/>
      <c r="AV202" s="100">
        <v>10</v>
      </c>
      <c r="AW202" s="105"/>
      <c r="AX202" s="106">
        <f t="shared" si="86"/>
        <v>0.6179339123683889</v>
      </c>
      <c r="AY202" s="101">
        <f t="shared" si="87"/>
        <v>17129</v>
      </c>
      <c r="AZ202" s="107"/>
      <c r="BA202" s="94">
        <v>45428.677083333336</v>
      </c>
      <c r="BB202" s="94">
        <v>45428.680555555555</v>
      </c>
      <c r="BC202" s="94">
        <v>45428.780555555553</v>
      </c>
      <c r="BD202" s="94">
        <v>45428.902777777781</v>
      </c>
      <c r="BE202" s="95">
        <f t="shared" si="88"/>
        <v>0.22569444444525288</v>
      </c>
      <c r="BF202" s="95">
        <v>2.0833333333333332E-2</v>
      </c>
      <c r="BG202" s="95">
        <v>5.9722222222222225E-2</v>
      </c>
      <c r="BH202" s="95">
        <f t="shared" si="89"/>
        <v>3.4722222189884633E-3</v>
      </c>
      <c r="BI202" s="95">
        <f t="shared" si="89"/>
        <v>9.9999999998544808E-2</v>
      </c>
      <c r="BJ202" s="95">
        <f t="shared" si="89"/>
        <v>0.12222222222771961</v>
      </c>
      <c r="BK202" s="95">
        <f t="shared" si="90"/>
        <v>0.22222222222626442</v>
      </c>
      <c r="BL202" s="95">
        <f t="shared" si="91"/>
        <v>0.14166666667070885</v>
      </c>
      <c r="BM202" s="95">
        <f t="shared" si="92"/>
        <v>1.7361111111919542E-2</v>
      </c>
      <c r="BN202" s="110"/>
    </row>
    <row r="203" spans="1:66" s="8" customFormat="1" ht="12.75" customHeight="1" x14ac:dyDescent="0.25">
      <c r="A203" s="90">
        <v>166</v>
      </c>
      <c r="B203" s="90">
        <v>64</v>
      </c>
      <c r="C203" s="90">
        <v>6</v>
      </c>
      <c r="D203" s="90" t="s">
        <v>113</v>
      </c>
      <c r="E203" s="91" t="s">
        <v>296</v>
      </c>
      <c r="F203" s="90" t="s">
        <v>32</v>
      </c>
      <c r="G203" s="90" t="s">
        <v>15</v>
      </c>
      <c r="H203" s="90" t="s">
        <v>146</v>
      </c>
      <c r="I203" s="92" t="s">
        <v>335</v>
      </c>
      <c r="J203" s="93">
        <v>45426</v>
      </c>
      <c r="K203" s="92" t="s">
        <v>117</v>
      </c>
      <c r="L203" s="92">
        <v>241000397</v>
      </c>
      <c r="M203" s="93">
        <v>45429</v>
      </c>
      <c r="N203" s="94">
        <v>45429.125</v>
      </c>
      <c r="O203" s="94">
        <v>45429.125</v>
      </c>
      <c r="P203" s="94">
        <v>45429.128472222219</v>
      </c>
      <c r="Q203" s="94">
        <v>45429.3125</v>
      </c>
      <c r="R203" s="114" t="s">
        <v>118</v>
      </c>
      <c r="S203" s="114" t="s">
        <v>118</v>
      </c>
      <c r="T203" s="114"/>
      <c r="U203" s="114"/>
      <c r="V203" s="95">
        <f t="shared" si="84"/>
        <v>0.1875</v>
      </c>
      <c r="W203" s="95">
        <v>0.20833333333333334</v>
      </c>
      <c r="X203" s="95" t="str">
        <f t="shared" si="85"/>
        <v>00:00</v>
      </c>
      <c r="Y203" s="96">
        <v>0</v>
      </c>
      <c r="Z203" s="96">
        <v>59</v>
      </c>
      <c r="AA203" s="96">
        <f t="shared" si="65"/>
        <v>59</v>
      </c>
      <c r="AB203" s="97">
        <f t="shared" si="66"/>
        <v>0</v>
      </c>
      <c r="AC203" s="97">
        <f t="shared" si="67"/>
        <v>3995.1000000000004</v>
      </c>
      <c r="AD203" s="98">
        <v>3995.1</v>
      </c>
      <c r="AE203" s="98">
        <v>4107.6000000000004</v>
      </c>
      <c r="AF203" s="98">
        <v>4109.3999999999996</v>
      </c>
      <c r="AG203" s="98">
        <f t="shared" si="68"/>
        <v>114.29999999999973</v>
      </c>
      <c r="AH203" s="99">
        <v>1398.7</v>
      </c>
      <c r="AI203" s="100">
        <f t="shared" si="69"/>
        <v>5747817.7799999993</v>
      </c>
      <c r="AJ203" s="100">
        <f t="shared" si="93"/>
        <v>0</v>
      </c>
      <c r="AK203" s="100">
        <v>0</v>
      </c>
      <c r="AL203" s="100">
        <v>0</v>
      </c>
      <c r="AM203" s="100">
        <v>0</v>
      </c>
      <c r="AN203" s="100">
        <v>0</v>
      </c>
      <c r="AO203" s="100">
        <v>0</v>
      </c>
      <c r="AP203" s="100">
        <f t="shared" si="82"/>
        <v>287391</v>
      </c>
      <c r="AQ203" s="101">
        <f t="shared" si="83"/>
        <v>6035209</v>
      </c>
      <c r="AR203" s="101">
        <v>0</v>
      </c>
      <c r="AS203" s="101">
        <v>0</v>
      </c>
      <c r="AT203" s="102" t="s">
        <v>34</v>
      </c>
      <c r="AU203" s="109" t="s">
        <v>118</v>
      </c>
      <c r="AV203" s="100">
        <v>0</v>
      </c>
      <c r="AW203" s="105"/>
      <c r="AX203" s="106">
        <f t="shared" si="86"/>
        <v>2.7814279456854951</v>
      </c>
      <c r="AY203" s="101">
        <f t="shared" si="87"/>
        <v>159872</v>
      </c>
      <c r="AZ203" s="107"/>
      <c r="BA203" s="94">
        <v>45429.125</v>
      </c>
      <c r="BB203" s="94">
        <v>45429.128472222219</v>
      </c>
      <c r="BC203" s="94">
        <v>45429.128472222219</v>
      </c>
      <c r="BD203" s="94">
        <v>45429.302083333336</v>
      </c>
      <c r="BE203" s="95">
        <f t="shared" si="88"/>
        <v>0.17708333333575865</v>
      </c>
      <c r="BF203" s="95">
        <v>9.0277777777777769E-3</v>
      </c>
      <c r="BG203" s="95">
        <v>4.583333333333333E-2</v>
      </c>
      <c r="BH203" s="95">
        <f t="shared" si="89"/>
        <v>3.4722222189884633E-3</v>
      </c>
      <c r="BI203" s="95">
        <f t="shared" si="89"/>
        <v>0</v>
      </c>
      <c r="BJ203" s="95">
        <f t="shared" si="89"/>
        <v>0.17361111111677019</v>
      </c>
      <c r="BK203" s="95">
        <f t="shared" si="90"/>
        <v>0.17361111111677019</v>
      </c>
      <c r="BL203" s="95">
        <f t="shared" si="91"/>
        <v>0.11875000000565908</v>
      </c>
      <c r="BM203" s="95" t="str">
        <f t="shared" si="92"/>
        <v>00:00</v>
      </c>
      <c r="BN203" s="110"/>
    </row>
    <row r="204" spans="1:66" s="8" customFormat="1" ht="12.75" customHeight="1" x14ac:dyDescent="0.25">
      <c r="A204" s="90">
        <v>167</v>
      </c>
      <c r="B204" s="90">
        <v>65</v>
      </c>
      <c r="C204" s="90">
        <v>19</v>
      </c>
      <c r="D204" s="90" t="s">
        <v>148</v>
      </c>
      <c r="E204" s="91" t="s">
        <v>282</v>
      </c>
      <c r="F204" s="90" t="s">
        <v>19</v>
      </c>
      <c r="G204" s="90" t="s">
        <v>17</v>
      </c>
      <c r="H204" s="90" t="s">
        <v>150</v>
      </c>
      <c r="I204" s="92" t="s">
        <v>336</v>
      </c>
      <c r="J204" s="93">
        <v>45427</v>
      </c>
      <c r="K204" s="92" t="s">
        <v>122</v>
      </c>
      <c r="L204" s="92">
        <v>461000240</v>
      </c>
      <c r="M204" s="93">
        <v>45429</v>
      </c>
      <c r="N204" s="94">
        <v>45429.291666666664</v>
      </c>
      <c r="O204" s="94">
        <v>45429.291666666664</v>
      </c>
      <c r="P204" s="94">
        <v>45429.295138888891</v>
      </c>
      <c r="Q204" s="94">
        <v>45429.5</v>
      </c>
      <c r="R204" s="114" t="s">
        <v>118</v>
      </c>
      <c r="S204" s="114" t="s">
        <v>118</v>
      </c>
      <c r="T204" s="114"/>
      <c r="U204" s="114"/>
      <c r="V204" s="95">
        <f t="shared" si="84"/>
        <v>0.20833333333575865</v>
      </c>
      <c r="W204" s="95">
        <v>0.20833333333333334</v>
      </c>
      <c r="X204" s="95">
        <f t="shared" si="85"/>
        <v>2.4253099528692701E-12</v>
      </c>
      <c r="Y204" s="96">
        <v>3</v>
      </c>
      <c r="Z204" s="96">
        <v>55</v>
      </c>
      <c r="AA204" s="96">
        <f t="shared" si="65"/>
        <v>58</v>
      </c>
      <c r="AB204" s="97">
        <f t="shared" si="66"/>
        <v>203.7693103448276</v>
      </c>
      <c r="AC204" s="97">
        <f t="shared" si="67"/>
        <v>3735.7706896551726</v>
      </c>
      <c r="AD204" s="98">
        <v>3939.54</v>
      </c>
      <c r="AE204" s="98">
        <v>3994.6</v>
      </c>
      <c r="AF204" s="98">
        <v>4007.2</v>
      </c>
      <c r="AG204" s="98">
        <f t="shared" si="68"/>
        <v>67.659999999999854</v>
      </c>
      <c r="AH204" s="99">
        <v>672.5</v>
      </c>
      <c r="AI204" s="100">
        <f t="shared" si="69"/>
        <v>2694842</v>
      </c>
      <c r="AJ204" s="100">
        <f t="shared" si="93"/>
        <v>0</v>
      </c>
      <c r="AK204" s="100">
        <v>0</v>
      </c>
      <c r="AL204" s="100">
        <v>24140</v>
      </c>
      <c r="AM204" s="100">
        <v>0</v>
      </c>
      <c r="AN204" s="100">
        <v>0</v>
      </c>
      <c r="AO204" s="100">
        <v>0</v>
      </c>
      <c r="AP204" s="100">
        <f t="shared" si="82"/>
        <v>135950</v>
      </c>
      <c r="AQ204" s="101">
        <f t="shared" si="83"/>
        <v>2854932</v>
      </c>
      <c r="AR204" s="101">
        <v>0</v>
      </c>
      <c r="AS204" s="101">
        <v>0</v>
      </c>
      <c r="AT204" s="102" t="s">
        <v>33</v>
      </c>
      <c r="AU204" s="109"/>
      <c r="AV204" s="100">
        <v>8</v>
      </c>
      <c r="AW204" s="105"/>
      <c r="AX204" s="106">
        <f t="shared" si="86"/>
        <v>1.6884607706128933</v>
      </c>
      <c r="AY204" s="101">
        <f t="shared" si="87"/>
        <v>45502</v>
      </c>
      <c r="AZ204" s="107"/>
      <c r="BA204" s="94">
        <v>45429.291666666664</v>
      </c>
      <c r="BB204" s="94">
        <v>45429.295138888891</v>
      </c>
      <c r="BC204" s="94">
        <v>45429.322916666664</v>
      </c>
      <c r="BD204" s="94">
        <v>45429.439583333333</v>
      </c>
      <c r="BE204" s="95">
        <f t="shared" si="88"/>
        <v>0.14791666666860692</v>
      </c>
      <c r="BF204" s="95">
        <v>1.3888888888888888E-2</v>
      </c>
      <c r="BG204" s="95">
        <v>1.3888888888888888E-2</v>
      </c>
      <c r="BH204" s="95">
        <f t="shared" si="89"/>
        <v>3.4722222262644209E-3</v>
      </c>
      <c r="BI204" s="95">
        <f t="shared" si="89"/>
        <v>2.7777777773735579E-2</v>
      </c>
      <c r="BJ204" s="95">
        <f t="shared" si="89"/>
        <v>0.11666666666860692</v>
      </c>
      <c r="BK204" s="95">
        <f t="shared" si="90"/>
        <v>0.1444444444423425</v>
      </c>
      <c r="BL204" s="95">
        <f t="shared" si="91"/>
        <v>0.11666666666456471</v>
      </c>
      <c r="BM204" s="95" t="str">
        <f t="shared" si="92"/>
        <v>00:00</v>
      </c>
      <c r="BN204" s="110"/>
    </row>
    <row r="205" spans="1:66" s="8" customFormat="1" ht="12.75" customHeight="1" x14ac:dyDescent="0.25">
      <c r="A205" s="90">
        <v>168</v>
      </c>
      <c r="B205" s="90">
        <v>66</v>
      </c>
      <c r="C205" s="90">
        <v>3</v>
      </c>
      <c r="D205" s="90" t="s">
        <v>113</v>
      </c>
      <c r="E205" s="91" t="s">
        <v>299</v>
      </c>
      <c r="F205" s="90" t="s">
        <v>7</v>
      </c>
      <c r="G205" s="90" t="s">
        <v>8</v>
      </c>
      <c r="H205" s="90" t="s">
        <v>300</v>
      </c>
      <c r="I205" s="92" t="s">
        <v>337</v>
      </c>
      <c r="J205" s="93">
        <v>45420</v>
      </c>
      <c r="K205" s="92" t="s">
        <v>117</v>
      </c>
      <c r="L205" s="92">
        <v>282000916</v>
      </c>
      <c r="M205" s="93">
        <v>45430</v>
      </c>
      <c r="N205" s="94">
        <v>45429.4375</v>
      </c>
      <c r="O205" s="94">
        <v>45429.4375</v>
      </c>
      <c r="P205" s="94">
        <v>45429.440972222219</v>
      </c>
      <c r="Q205" s="94">
        <v>45429.625</v>
      </c>
      <c r="R205" s="114" t="s">
        <v>118</v>
      </c>
      <c r="S205" s="114" t="s">
        <v>118</v>
      </c>
      <c r="T205" s="114"/>
      <c r="U205" s="114"/>
      <c r="V205" s="95">
        <f t="shared" si="84"/>
        <v>0.1875</v>
      </c>
      <c r="W205" s="95">
        <v>0.20833333333333334</v>
      </c>
      <c r="X205" s="95" t="str">
        <f t="shared" si="85"/>
        <v>00:00</v>
      </c>
      <c r="Y205" s="96">
        <v>0</v>
      </c>
      <c r="Z205" s="96">
        <v>59</v>
      </c>
      <c r="AA205" s="96">
        <f t="shared" si="65"/>
        <v>59</v>
      </c>
      <c r="AB205" s="97">
        <f t="shared" si="66"/>
        <v>0</v>
      </c>
      <c r="AC205" s="97">
        <f t="shared" si="67"/>
        <v>3886.1700000000005</v>
      </c>
      <c r="AD205" s="98">
        <v>3886.17</v>
      </c>
      <c r="AE205" s="98">
        <v>4105</v>
      </c>
      <c r="AF205" s="98">
        <v>4105</v>
      </c>
      <c r="AG205" s="98">
        <f t="shared" si="68"/>
        <v>218.82999999999993</v>
      </c>
      <c r="AH205" s="99">
        <v>1484</v>
      </c>
      <c r="AI205" s="100">
        <f t="shared" si="69"/>
        <v>6091820</v>
      </c>
      <c r="AJ205" s="100">
        <f t="shared" si="93"/>
        <v>0</v>
      </c>
      <c r="AK205" s="100">
        <v>0</v>
      </c>
      <c r="AL205" s="100">
        <v>0</v>
      </c>
      <c r="AM205" s="100">
        <v>0</v>
      </c>
      <c r="AN205" s="100">
        <v>0</v>
      </c>
      <c r="AO205" s="100">
        <v>0</v>
      </c>
      <c r="AP205" s="100">
        <f t="shared" si="82"/>
        <v>304591</v>
      </c>
      <c r="AQ205" s="101">
        <f t="shared" si="83"/>
        <v>6396411</v>
      </c>
      <c r="AR205" s="101">
        <v>0</v>
      </c>
      <c r="AS205" s="101">
        <v>0</v>
      </c>
      <c r="AT205" s="102" t="s">
        <v>34</v>
      </c>
      <c r="AU205" s="109" t="s">
        <v>118</v>
      </c>
      <c r="AV205" s="100">
        <v>0</v>
      </c>
      <c r="AW205" s="105"/>
      <c r="AX205" s="106">
        <f t="shared" si="86"/>
        <v>5.3308160779537133</v>
      </c>
      <c r="AY205" s="101">
        <f t="shared" si="87"/>
        <v>324744</v>
      </c>
      <c r="AZ205" s="107"/>
      <c r="BA205" s="94">
        <v>45429.4375</v>
      </c>
      <c r="BB205" s="94">
        <v>45429.440972222219</v>
      </c>
      <c r="BC205" s="94">
        <v>45429.472916666666</v>
      </c>
      <c r="BD205" s="94">
        <v>45429.590277777781</v>
      </c>
      <c r="BE205" s="95">
        <f t="shared" si="88"/>
        <v>0.15277777778101154</v>
      </c>
      <c r="BF205" s="95">
        <v>6.9444444444444441E-3</v>
      </c>
      <c r="BG205" s="95">
        <v>2.5000000000000001E-2</v>
      </c>
      <c r="BH205" s="95">
        <f t="shared" si="89"/>
        <v>3.4722222189884633E-3</v>
      </c>
      <c r="BI205" s="95">
        <f t="shared" si="89"/>
        <v>3.1944444446708076E-2</v>
      </c>
      <c r="BJ205" s="95">
        <f t="shared" si="89"/>
        <v>0.117361111115315</v>
      </c>
      <c r="BK205" s="95">
        <f t="shared" si="90"/>
        <v>0.14930555556202307</v>
      </c>
      <c r="BL205" s="95">
        <f t="shared" si="91"/>
        <v>0.11736111111757863</v>
      </c>
      <c r="BM205" s="95" t="str">
        <f t="shared" si="92"/>
        <v>00:00</v>
      </c>
      <c r="BN205" s="110"/>
    </row>
    <row r="206" spans="1:66" s="8" customFormat="1" ht="12.75" customHeight="1" x14ac:dyDescent="0.25">
      <c r="A206" s="115">
        <v>169</v>
      </c>
      <c r="B206" s="115">
        <v>67</v>
      </c>
      <c r="C206" s="90">
        <v>14</v>
      </c>
      <c r="D206" s="90" t="s">
        <v>148</v>
      </c>
      <c r="E206" s="91" t="s">
        <v>235</v>
      </c>
      <c r="F206" s="115" t="s">
        <v>16</v>
      </c>
      <c r="G206" s="115" t="s">
        <v>17</v>
      </c>
      <c r="H206" s="115" t="s">
        <v>150</v>
      </c>
      <c r="I206" s="116" t="s">
        <v>338</v>
      </c>
      <c r="J206" s="117">
        <v>45428</v>
      </c>
      <c r="K206" s="116" t="s">
        <v>122</v>
      </c>
      <c r="L206" s="116">
        <v>461000241</v>
      </c>
      <c r="M206" s="117">
        <v>45430</v>
      </c>
      <c r="N206" s="118">
        <v>45429.708333333336</v>
      </c>
      <c r="O206" s="118">
        <v>45429.708333333336</v>
      </c>
      <c r="P206" s="118">
        <v>45429.711805555555</v>
      </c>
      <c r="Q206" s="118">
        <v>45429.895833333336</v>
      </c>
      <c r="R206" s="118" t="s">
        <v>118</v>
      </c>
      <c r="S206" s="118" t="s">
        <v>118</v>
      </c>
      <c r="T206" s="118"/>
      <c r="U206" s="118"/>
      <c r="V206" s="119">
        <f t="shared" si="84"/>
        <v>0.1875</v>
      </c>
      <c r="W206" s="119">
        <v>0.20833333333333334</v>
      </c>
      <c r="X206" s="119" t="str">
        <f t="shared" si="85"/>
        <v>00:00</v>
      </c>
      <c r="Y206" s="96">
        <v>0</v>
      </c>
      <c r="Z206" s="96">
        <v>21</v>
      </c>
      <c r="AA206" s="96">
        <f t="shared" si="65"/>
        <v>21</v>
      </c>
      <c r="AB206" s="97">
        <f t="shared" si="66"/>
        <v>0</v>
      </c>
      <c r="AC206" s="97">
        <f t="shared" si="67"/>
        <v>1442.5600000000004</v>
      </c>
      <c r="AD206" s="98">
        <f>3822.78-2380.22</f>
        <v>1442.5600000000004</v>
      </c>
      <c r="AE206" s="98">
        <f>3950.3-2503.4</f>
        <v>1446.9</v>
      </c>
      <c r="AF206" s="98">
        <f>3950.4-2503.5</f>
        <v>1446.9</v>
      </c>
      <c r="AG206" s="98">
        <f t="shared" si="68"/>
        <v>4.3399999999996908</v>
      </c>
      <c r="AH206" s="99">
        <v>672.5</v>
      </c>
      <c r="AI206" s="100">
        <f t="shared" si="69"/>
        <v>973040.25000000012</v>
      </c>
      <c r="AJ206" s="100">
        <f t="shared" si="93"/>
        <v>0</v>
      </c>
      <c r="AK206" s="100">
        <v>0</v>
      </c>
      <c r="AL206" s="100">
        <v>0</v>
      </c>
      <c r="AM206" s="100">
        <v>0</v>
      </c>
      <c r="AN206" s="100">
        <v>0</v>
      </c>
      <c r="AO206" s="100">
        <v>0</v>
      </c>
      <c r="AP206" s="100">
        <f t="shared" si="82"/>
        <v>48653</v>
      </c>
      <c r="AQ206" s="101">
        <f>ROUNDUP(SUM(AI206:AP206),0)-1</f>
        <v>1021693</v>
      </c>
      <c r="AR206" s="101">
        <v>0</v>
      </c>
      <c r="AS206" s="101">
        <v>0</v>
      </c>
      <c r="AT206" s="137" t="s">
        <v>33</v>
      </c>
      <c r="AU206" s="120" t="s">
        <v>118</v>
      </c>
      <c r="AV206" s="121">
        <v>0</v>
      </c>
      <c r="AW206" s="139"/>
      <c r="AX206" s="140">
        <f>IFERROR(((AG206+AG207)/(AF206+AF207))*100, "")</f>
        <v>3.2305589307411875</v>
      </c>
      <c r="AY206" s="141">
        <f>ROUNDUP((AG206+AG207)*AH206,0)</f>
        <v>85825</v>
      </c>
      <c r="AZ206" s="142"/>
      <c r="BA206" s="118">
        <v>45429.708333333336</v>
      </c>
      <c r="BB206" s="118">
        <v>45429.711805555555</v>
      </c>
      <c r="BC206" s="118">
        <v>45429.711805555555</v>
      </c>
      <c r="BD206" s="118">
        <v>45429.822916666664</v>
      </c>
      <c r="BE206" s="119">
        <f t="shared" si="88"/>
        <v>0.11458333332848269</v>
      </c>
      <c r="BF206" s="119">
        <v>0</v>
      </c>
      <c r="BG206" s="119">
        <v>0</v>
      </c>
      <c r="BH206" s="119">
        <f t="shared" si="89"/>
        <v>3.4722222189884633E-3</v>
      </c>
      <c r="BI206" s="119">
        <f t="shared" si="89"/>
        <v>0</v>
      </c>
      <c r="BJ206" s="119">
        <f t="shared" si="89"/>
        <v>0.11111111110949423</v>
      </c>
      <c r="BK206" s="119">
        <f t="shared" si="90"/>
        <v>0.11111111110949423</v>
      </c>
      <c r="BL206" s="119">
        <f t="shared" si="91"/>
        <v>0.11111111110949423</v>
      </c>
      <c r="BM206" s="119" t="str">
        <f t="shared" si="92"/>
        <v>00:00</v>
      </c>
      <c r="BN206" s="110" t="s">
        <v>339</v>
      </c>
    </row>
    <row r="207" spans="1:66" s="8" customFormat="1" ht="12.75" customHeight="1" x14ac:dyDescent="0.25">
      <c r="A207" s="122"/>
      <c r="B207" s="122"/>
      <c r="C207" s="90">
        <v>1</v>
      </c>
      <c r="D207" s="90" t="s">
        <v>148</v>
      </c>
      <c r="E207" s="91" t="s">
        <v>340</v>
      </c>
      <c r="F207" s="122"/>
      <c r="G207" s="122"/>
      <c r="H207" s="122"/>
      <c r="I207" s="123"/>
      <c r="J207" s="124"/>
      <c r="K207" s="123"/>
      <c r="L207" s="123"/>
      <c r="M207" s="124"/>
      <c r="N207" s="125"/>
      <c r="O207" s="125"/>
      <c r="P207" s="125"/>
      <c r="Q207" s="125"/>
      <c r="R207" s="125"/>
      <c r="S207" s="125"/>
      <c r="T207" s="125"/>
      <c r="U207" s="125"/>
      <c r="V207" s="126"/>
      <c r="W207" s="126"/>
      <c r="X207" s="126"/>
      <c r="Y207" s="96">
        <v>0</v>
      </c>
      <c r="Z207" s="96">
        <v>36</v>
      </c>
      <c r="AA207" s="96">
        <f t="shared" si="65"/>
        <v>36</v>
      </c>
      <c r="AB207" s="97">
        <f t="shared" si="66"/>
        <v>0</v>
      </c>
      <c r="AC207" s="97">
        <f t="shared" si="67"/>
        <v>2380.2199999999993</v>
      </c>
      <c r="AD207" s="98">
        <v>2380.2199999999998</v>
      </c>
      <c r="AE207" s="98">
        <v>2503.4</v>
      </c>
      <c r="AF207" s="98">
        <v>2503.5</v>
      </c>
      <c r="AG207" s="98">
        <f t="shared" si="68"/>
        <v>123.2800000000002</v>
      </c>
      <c r="AH207" s="99">
        <v>672.5</v>
      </c>
      <c r="AI207" s="100">
        <f t="shared" si="69"/>
        <v>1683603.75</v>
      </c>
      <c r="AJ207" s="100">
        <f t="shared" si="93"/>
        <v>0</v>
      </c>
      <c r="AK207" s="100">
        <v>0</v>
      </c>
      <c r="AL207" s="100">
        <v>0</v>
      </c>
      <c r="AM207" s="100">
        <v>0</v>
      </c>
      <c r="AN207" s="100">
        <v>0</v>
      </c>
      <c r="AO207" s="100">
        <v>0</v>
      </c>
      <c r="AP207" s="100">
        <f t="shared" si="82"/>
        <v>84181</v>
      </c>
      <c r="AQ207" s="101">
        <f>ROUNDUP(SUM(AI207:AP207),0)-1</f>
        <v>1767784</v>
      </c>
      <c r="AR207" s="101">
        <v>0</v>
      </c>
      <c r="AS207" s="101">
        <v>0</v>
      </c>
      <c r="AT207" s="138"/>
      <c r="AU207" s="127"/>
      <c r="AV207" s="128"/>
      <c r="AW207" s="143"/>
      <c r="AX207" s="144"/>
      <c r="AY207" s="145"/>
      <c r="AZ207" s="146"/>
      <c r="BA207" s="125"/>
      <c r="BB207" s="125"/>
      <c r="BC207" s="125"/>
      <c r="BD207" s="125"/>
      <c r="BE207" s="126"/>
      <c r="BF207" s="126"/>
      <c r="BG207" s="126"/>
      <c r="BH207" s="126"/>
      <c r="BI207" s="126"/>
      <c r="BJ207" s="126"/>
      <c r="BK207" s="126"/>
      <c r="BL207" s="126"/>
      <c r="BM207" s="126"/>
      <c r="BN207" s="110" t="s">
        <v>341</v>
      </c>
    </row>
    <row r="208" spans="1:66" s="8" customFormat="1" ht="12.75" customHeight="1" x14ac:dyDescent="0.25">
      <c r="A208" s="90">
        <v>170</v>
      </c>
      <c r="B208" s="90">
        <v>68</v>
      </c>
      <c r="C208" s="90">
        <v>5</v>
      </c>
      <c r="D208" s="90" t="s">
        <v>113</v>
      </c>
      <c r="E208" s="91" t="s">
        <v>319</v>
      </c>
      <c r="F208" s="90" t="s">
        <v>32</v>
      </c>
      <c r="G208" s="90" t="s">
        <v>8</v>
      </c>
      <c r="H208" s="90" t="s">
        <v>213</v>
      </c>
      <c r="I208" s="92" t="s">
        <v>342</v>
      </c>
      <c r="J208" s="93">
        <v>45426</v>
      </c>
      <c r="K208" s="92" t="s">
        <v>117</v>
      </c>
      <c r="L208" s="92">
        <v>262009671</v>
      </c>
      <c r="M208" s="93">
        <v>45430</v>
      </c>
      <c r="N208" s="94">
        <v>45430.0625</v>
      </c>
      <c r="O208" s="94">
        <v>45430.0625</v>
      </c>
      <c r="P208" s="94">
        <v>45430.079861111109</v>
      </c>
      <c r="Q208" s="94">
        <v>45430.25</v>
      </c>
      <c r="R208" s="114">
        <v>45430.072916666664</v>
      </c>
      <c r="S208" s="114" t="s">
        <v>118</v>
      </c>
      <c r="T208" s="114"/>
      <c r="U208" s="147"/>
      <c r="V208" s="95">
        <f t="shared" ref="V208:V242" si="94">+Q208-O208</f>
        <v>0.1875</v>
      </c>
      <c r="W208" s="95">
        <v>0.20833333333333334</v>
      </c>
      <c r="X208" s="95" t="str">
        <f t="shared" ref="X208:X242" si="95">IF(VALUE(V208)&lt;=VALUE("05:00"),"00:00",VALUE(V208)-VALUE("05:00"))</f>
        <v>00:00</v>
      </c>
      <c r="Y208" s="96">
        <v>0</v>
      </c>
      <c r="Z208" s="96">
        <v>58</v>
      </c>
      <c r="AA208" s="96">
        <f t="shared" si="65"/>
        <v>58</v>
      </c>
      <c r="AB208" s="97">
        <f t="shared" si="66"/>
        <v>0</v>
      </c>
      <c r="AC208" s="97">
        <f t="shared" si="67"/>
        <v>3912.57</v>
      </c>
      <c r="AD208" s="98">
        <v>3912.57</v>
      </c>
      <c r="AE208" s="98">
        <v>4035</v>
      </c>
      <c r="AF208" s="98">
        <v>4037.2</v>
      </c>
      <c r="AG208" s="98">
        <f t="shared" si="68"/>
        <v>124.62999999999965</v>
      </c>
      <c r="AH208" s="99">
        <v>2329.4</v>
      </c>
      <c r="AI208" s="100">
        <f t="shared" si="69"/>
        <v>9404253.6799999997</v>
      </c>
      <c r="AJ208" s="100">
        <f t="shared" si="93"/>
        <v>0</v>
      </c>
      <c r="AK208" s="100">
        <v>0</v>
      </c>
      <c r="AL208" s="100">
        <v>24140</v>
      </c>
      <c r="AM208" s="100">
        <v>0</v>
      </c>
      <c r="AN208" s="100">
        <v>0</v>
      </c>
      <c r="AO208" s="100">
        <v>0</v>
      </c>
      <c r="AP208" s="100">
        <f t="shared" si="82"/>
        <v>471420</v>
      </c>
      <c r="AQ208" s="101">
        <f t="shared" ref="AQ208:AQ241" si="96">ROUNDUP(SUM(AI208:AP208),0)</f>
        <v>9899814</v>
      </c>
      <c r="AR208" s="101">
        <v>0</v>
      </c>
      <c r="AS208" s="101">
        <v>0</v>
      </c>
      <c r="AT208" s="102" t="s">
        <v>34</v>
      </c>
      <c r="AU208" s="109"/>
      <c r="AV208" s="100">
        <v>1</v>
      </c>
      <c r="AW208" s="105"/>
      <c r="AX208" s="106">
        <f t="shared" ref="AX208:AX223" si="97">IFERROR((AG208/AF208)*100, "")</f>
        <v>3.0870405231348377</v>
      </c>
      <c r="AY208" s="101">
        <f t="shared" ref="AY208:AY223" si="98">ROUNDUP(AG208*AH208,0)</f>
        <v>290314</v>
      </c>
      <c r="AZ208" s="107"/>
      <c r="BA208" s="94">
        <v>45430.072916666664</v>
      </c>
      <c r="BB208" s="94">
        <v>45430.079861111109</v>
      </c>
      <c r="BC208" s="94">
        <v>45430.079861111109</v>
      </c>
      <c r="BD208" s="94">
        <v>45430.225694444445</v>
      </c>
      <c r="BE208" s="95">
        <f t="shared" ref="BE208:BE224" si="99">+BD208-BA208</f>
        <v>0.15277777778101154</v>
      </c>
      <c r="BF208" s="95">
        <v>4.1666666666666666E-3</v>
      </c>
      <c r="BG208" s="95">
        <v>2.5694444444444443E-2</v>
      </c>
      <c r="BH208" s="95">
        <f t="shared" ref="BH208:BJ224" si="100">+BB208-BA208</f>
        <v>6.9444444452528842E-3</v>
      </c>
      <c r="BI208" s="95">
        <f t="shared" si="100"/>
        <v>0</v>
      </c>
      <c r="BJ208" s="95">
        <f t="shared" si="100"/>
        <v>0.14583333333575865</v>
      </c>
      <c r="BK208" s="95">
        <f t="shared" ref="BK208:BK224" si="101">+BI208+BJ208</f>
        <v>0.14583333333575865</v>
      </c>
      <c r="BL208" s="95">
        <f t="shared" ref="BL208:BL224" si="102">+BE208-BH208-BF208-BG208</f>
        <v>0.11597222222464754</v>
      </c>
      <c r="BM208" s="95" t="str">
        <f t="shared" ref="BM208:BM224" si="103">IF(VALUE(BE208)&lt;=VALUE("05:00"),"00:00",VALUE(BE208)-VALUE("05:00"))</f>
        <v>00:00</v>
      </c>
      <c r="BN208" s="110"/>
    </row>
    <row r="209" spans="1:66" s="8" customFormat="1" ht="12.75" customHeight="1" x14ac:dyDescent="0.25">
      <c r="A209" s="90">
        <v>171</v>
      </c>
      <c r="B209" s="90">
        <v>69</v>
      </c>
      <c r="C209" s="90">
        <v>1</v>
      </c>
      <c r="D209" s="90" t="s">
        <v>148</v>
      </c>
      <c r="E209" s="91" t="s">
        <v>340</v>
      </c>
      <c r="F209" s="90" t="s">
        <v>16</v>
      </c>
      <c r="G209" s="90" t="s">
        <v>17</v>
      </c>
      <c r="H209" s="90" t="s">
        <v>150</v>
      </c>
      <c r="I209" s="92" t="s">
        <v>343</v>
      </c>
      <c r="J209" s="93">
        <v>45428</v>
      </c>
      <c r="K209" s="92" t="s">
        <v>122</v>
      </c>
      <c r="L209" s="92">
        <v>461000242</v>
      </c>
      <c r="M209" s="93">
        <v>45430</v>
      </c>
      <c r="N209" s="94">
        <v>45430.416666666664</v>
      </c>
      <c r="O209" s="94">
        <v>45430.416666666664</v>
      </c>
      <c r="P209" s="94">
        <v>45430.430555555555</v>
      </c>
      <c r="Q209" s="94">
        <v>45430.604166666664</v>
      </c>
      <c r="R209" s="114" t="s">
        <v>118</v>
      </c>
      <c r="S209" s="114" t="s">
        <v>118</v>
      </c>
      <c r="T209" s="114"/>
      <c r="U209" s="114"/>
      <c r="V209" s="95">
        <f t="shared" si="94"/>
        <v>0.1875</v>
      </c>
      <c r="W209" s="95">
        <v>0.20833333333333334</v>
      </c>
      <c r="X209" s="95" t="str">
        <f t="shared" si="95"/>
        <v>00:00</v>
      </c>
      <c r="Y209" s="96">
        <v>0</v>
      </c>
      <c r="Z209" s="96">
        <v>58</v>
      </c>
      <c r="AA209" s="96">
        <f t="shared" si="65"/>
        <v>58</v>
      </c>
      <c r="AB209" s="97">
        <f t="shared" si="66"/>
        <v>0</v>
      </c>
      <c r="AC209" s="97">
        <f t="shared" si="67"/>
        <v>4059.2699999999995</v>
      </c>
      <c r="AD209" s="98">
        <v>4059.27</v>
      </c>
      <c r="AE209" s="98">
        <v>4030.4</v>
      </c>
      <c r="AF209" s="98">
        <v>4077.8</v>
      </c>
      <c r="AG209" s="98">
        <f t="shared" si="68"/>
        <v>18.5300000000002</v>
      </c>
      <c r="AH209" s="99">
        <v>672.5</v>
      </c>
      <c r="AI209" s="100">
        <f t="shared" si="69"/>
        <v>2742320.5</v>
      </c>
      <c r="AJ209" s="100">
        <f t="shared" si="93"/>
        <v>0</v>
      </c>
      <c r="AK209" s="100">
        <v>0</v>
      </c>
      <c r="AL209" s="100">
        <v>48280</v>
      </c>
      <c r="AM209" s="100">
        <v>0</v>
      </c>
      <c r="AN209" s="100">
        <v>0</v>
      </c>
      <c r="AO209" s="100">
        <v>0</v>
      </c>
      <c r="AP209" s="100">
        <f t="shared" si="82"/>
        <v>139531</v>
      </c>
      <c r="AQ209" s="101">
        <f t="shared" si="96"/>
        <v>2930132</v>
      </c>
      <c r="AR209" s="101">
        <v>0</v>
      </c>
      <c r="AS209" s="101">
        <v>0</v>
      </c>
      <c r="AT209" s="102" t="s">
        <v>34</v>
      </c>
      <c r="AU209" s="109"/>
      <c r="AV209" s="100">
        <v>50</v>
      </c>
      <c r="AW209" s="105"/>
      <c r="AX209" s="106">
        <f t="shared" si="97"/>
        <v>0.45441169257933689</v>
      </c>
      <c r="AY209" s="101">
        <f t="shared" si="98"/>
        <v>12462</v>
      </c>
      <c r="AZ209" s="107"/>
      <c r="BA209" s="94">
        <v>45430.416666666664</v>
      </c>
      <c r="BB209" s="94">
        <v>45430.430555555555</v>
      </c>
      <c r="BC209" s="94">
        <v>45430.436111111114</v>
      </c>
      <c r="BD209" s="94">
        <v>45430.552083333336</v>
      </c>
      <c r="BE209" s="95">
        <f t="shared" si="99"/>
        <v>0.13541666667151731</v>
      </c>
      <c r="BF209" s="95">
        <v>0</v>
      </c>
      <c r="BG209" s="95">
        <v>5.5555555555555558E-3</v>
      </c>
      <c r="BH209" s="95">
        <f t="shared" si="100"/>
        <v>1.3888888890505768E-2</v>
      </c>
      <c r="BI209" s="95">
        <f t="shared" si="100"/>
        <v>5.5555555591126904E-3</v>
      </c>
      <c r="BJ209" s="95">
        <f t="shared" si="100"/>
        <v>0.11597222222189885</v>
      </c>
      <c r="BK209" s="95">
        <f t="shared" si="101"/>
        <v>0.12152777778101154</v>
      </c>
      <c r="BL209" s="95">
        <f t="shared" si="102"/>
        <v>0.11597222222545599</v>
      </c>
      <c r="BM209" s="95" t="str">
        <f t="shared" si="103"/>
        <v>00:00</v>
      </c>
      <c r="BN209" s="110"/>
    </row>
    <row r="210" spans="1:66" s="8" customFormat="1" ht="12.75" customHeight="1" x14ac:dyDescent="0.25">
      <c r="A210" s="90">
        <v>172</v>
      </c>
      <c r="B210" s="90">
        <v>70</v>
      </c>
      <c r="C210" s="90">
        <v>2</v>
      </c>
      <c r="D210" s="90" t="s">
        <v>113</v>
      </c>
      <c r="E210" s="91" t="s">
        <v>313</v>
      </c>
      <c r="F210" s="90" t="s">
        <v>11</v>
      </c>
      <c r="G210" s="90" t="s">
        <v>12</v>
      </c>
      <c r="H210" s="90" t="s">
        <v>115</v>
      </c>
      <c r="I210" s="92" t="s">
        <v>344</v>
      </c>
      <c r="J210" s="93">
        <v>45430</v>
      </c>
      <c r="K210" s="92" t="s">
        <v>117</v>
      </c>
      <c r="L210" s="92">
        <v>282000919</v>
      </c>
      <c r="M210" s="93">
        <v>45431</v>
      </c>
      <c r="N210" s="94">
        <v>45430.635416666664</v>
      </c>
      <c r="O210" s="94">
        <v>45430.635416666664</v>
      </c>
      <c r="P210" s="94">
        <v>45430.65625</v>
      </c>
      <c r="Q210" s="94">
        <v>45430.833333333336</v>
      </c>
      <c r="R210" s="114" t="s">
        <v>118</v>
      </c>
      <c r="S210" s="114" t="s">
        <v>118</v>
      </c>
      <c r="T210" s="114"/>
      <c r="U210" s="114"/>
      <c r="V210" s="95">
        <f t="shared" si="94"/>
        <v>0.19791666667151731</v>
      </c>
      <c r="W210" s="95">
        <v>0.20833333333333334</v>
      </c>
      <c r="X210" s="95" t="str">
        <f t="shared" si="95"/>
        <v>00:00</v>
      </c>
      <c r="Y210" s="96">
        <v>0</v>
      </c>
      <c r="Z210" s="96">
        <v>58</v>
      </c>
      <c r="AA210" s="96">
        <f t="shared" si="65"/>
        <v>58</v>
      </c>
      <c r="AB210" s="97">
        <f t="shared" si="66"/>
        <v>0</v>
      </c>
      <c r="AC210" s="97">
        <f t="shared" si="67"/>
        <v>4012.53</v>
      </c>
      <c r="AD210" s="98">
        <v>4012.53</v>
      </c>
      <c r="AE210" s="98">
        <v>4022.1</v>
      </c>
      <c r="AF210" s="98">
        <v>4049.6</v>
      </c>
      <c r="AG210" s="98">
        <f t="shared" si="68"/>
        <v>37.069999999999709</v>
      </c>
      <c r="AH210" s="99">
        <v>1586.7</v>
      </c>
      <c r="AI210" s="100">
        <f t="shared" si="69"/>
        <v>6425500.3200000003</v>
      </c>
      <c r="AJ210" s="100">
        <f t="shared" si="93"/>
        <v>0</v>
      </c>
      <c r="AK210" s="100">
        <v>0</v>
      </c>
      <c r="AL210" s="100">
        <v>24140</v>
      </c>
      <c r="AM210" s="100">
        <v>0</v>
      </c>
      <c r="AN210" s="100">
        <v>0</v>
      </c>
      <c r="AO210" s="100">
        <f>IFERROR(AF210*20+(((AJ210/AH210)/2)*20),0)</f>
        <v>80992</v>
      </c>
      <c r="AP210" s="100">
        <f t="shared" si="82"/>
        <v>326532</v>
      </c>
      <c r="AQ210" s="101">
        <f t="shared" si="96"/>
        <v>6857165</v>
      </c>
      <c r="AR210" s="101">
        <v>0</v>
      </c>
      <c r="AS210" s="101">
        <v>0</v>
      </c>
      <c r="AT210" s="102" t="s">
        <v>33</v>
      </c>
      <c r="AU210" s="109"/>
      <c r="AV210" s="100">
        <v>29</v>
      </c>
      <c r="AW210" s="105"/>
      <c r="AX210" s="106">
        <f t="shared" si="97"/>
        <v>0.91539905175819125</v>
      </c>
      <c r="AY210" s="101">
        <f t="shared" si="98"/>
        <v>58819</v>
      </c>
      <c r="AZ210" s="107"/>
      <c r="BA210" s="94">
        <v>45430.635416666664</v>
      </c>
      <c r="BB210" s="94">
        <v>45430.65625</v>
      </c>
      <c r="BC210" s="94">
        <v>45430.663194444445</v>
      </c>
      <c r="BD210" s="94">
        <v>45430.797222222223</v>
      </c>
      <c r="BE210" s="95">
        <f t="shared" si="99"/>
        <v>0.16180555555911269</v>
      </c>
      <c r="BF210" s="95">
        <v>1.1111111111111112E-2</v>
      </c>
      <c r="BG210" s="95">
        <v>6.9444444444444441E-3</v>
      </c>
      <c r="BH210" s="95">
        <f t="shared" si="100"/>
        <v>2.0833333335758653E-2</v>
      </c>
      <c r="BI210" s="95">
        <f t="shared" si="100"/>
        <v>6.9444444452528842E-3</v>
      </c>
      <c r="BJ210" s="95">
        <f t="shared" si="100"/>
        <v>0.13402777777810115</v>
      </c>
      <c r="BK210" s="95">
        <f t="shared" si="101"/>
        <v>0.14097222222335404</v>
      </c>
      <c r="BL210" s="95">
        <f t="shared" si="102"/>
        <v>0.12291666666779849</v>
      </c>
      <c r="BM210" s="95" t="str">
        <f t="shared" si="103"/>
        <v>00:00</v>
      </c>
      <c r="BN210" s="110"/>
    </row>
    <row r="211" spans="1:66" s="8" customFormat="1" ht="12.75" customHeight="1" x14ac:dyDescent="0.25">
      <c r="A211" s="90">
        <v>173</v>
      </c>
      <c r="B211" s="90">
        <v>71</v>
      </c>
      <c r="C211" s="90">
        <v>2</v>
      </c>
      <c r="D211" s="90" t="s">
        <v>148</v>
      </c>
      <c r="E211" s="91" t="s">
        <v>340</v>
      </c>
      <c r="F211" s="90" t="s">
        <v>16</v>
      </c>
      <c r="G211" s="90" t="s">
        <v>17</v>
      </c>
      <c r="H211" s="90" t="s">
        <v>150</v>
      </c>
      <c r="I211" s="92" t="s">
        <v>345</v>
      </c>
      <c r="J211" s="93">
        <v>45428</v>
      </c>
      <c r="K211" s="92" t="s">
        <v>122</v>
      </c>
      <c r="L211" s="92">
        <v>461000243</v>
      </c>
      <c r="M211" s="93">
        <v>45431</v>
      </c>
      <c r="N211" s="94">
        <v>45430.822916666664</v>
      </c>
      <c r="O211" s="94">
        <v>45430.822916666664</v>
      </c>
      <c r="P211" s="94">
        <v>45430.888888888891</v>
      </c>
      <c r="Q211" s="94">
        <v>45430.989583333336</v>
      </c>
      <c r="R211" s="114" t="s">
        <v>118</v>
      </c>
      <c r="S211" s="114" t="s">
        <v>118</v>
      </c>
      <c r="T211" s="114"/>
      <c r="U211" s="114"/>
      <c r="V211" s="95">
        <f t="shared" si="94"/>
        <v>0.16666666667151731</v>
      </c>
      <c r="W211" s="95">
        <v>0.20833333333333334</v>
      </c>
      <c r="X211" s="95" t="str">
        <f t="shared" si="95"/>
        <v>00:00</v>
      </c>
      <c r="Y211" s="96">
        <v>0</v>
      </c>
      <c r="Z211" s="96">
        <v>58</v>
      </c>
      <c r="AA211" s="96">
        <f t="shared" si="65"/>
        <v>58</v>
      </c>
      <c r="AB211" s="97">
        <f t="shared" si="66"/>
        <v>0</v>
      </c>
      <c r="AC211" s="97">
        <f t="shared" si="67"/>
        <v>4014.81</v>
      </c>
      <c r="AD211" s="98">
        <v>4014.81</v>
      </c>
      <c r="AE211" s="98">
        <v>4027</v>
      </c>
      <c r="AF211" s="98">
        <v>4041.8</v>
      </c>
      <c r="AG211" s="98">
        <f t="shared" si="68"/>
        <v>26.990000000000236</v>
      </c>
      <c r="AH211" s="99">
        <v>672.5</v>
      </c>
      <c r="AI211" s="100">
        <f t="shared" si="69"/>
        <v>2718110.5</v>
      </c>
      <c r="AJ211" s="100">
        <f t="shared" si="93"/>
        <v>0</v>
      </c>
      <c r="AK211" s="100">
        <v>0</v>
      </c>
      <c r="AL211" s="100">
        <v>24140</v>
      </c>
      <c r="AM211" s="100">
        <v>0</v>
      </c>
      <c r="AN211" s="100">
        <v>0</v>
      </c>
      <c r="AO211" s="100">
        <v>0</v>
      </c>
      <c r="AP211" s="100">
        <f t="shared" si="82"/>
        <v>137113</v>
      </c>
      <c r="AQ211" s="101">
        <f t="shared" si="96"/>
        <v>2879364</v>
      </c>
      <c r="AR211" s="101">
        <v>0</v>
      </c>
      <c r="AS211" s="101">
        <v>0</v>
      </c>
      <c r="AT211" s="102" t="s">
        <v>34</v>
      </c>
      <c r="AU211" s="109"/>
      <c r="AV211" s="100">
        <v>4</v>
      </c>
      <c r="AW211" s="105"/>
      <c r="AX211" s="106">
        <f t="shared" si="97"/>
        <v>0.66777178484834077</v>
      </c>
      <c r="AY211" s="101">
        <f t="shared" si="98"/>
        <v>18151</v>
      </c>
      <c r="AZ211" s="107"/>
      <c r="BA211" s="94">
        <v>45430.822916666664</v>
      </c>
      <c r="BB211" s="94">
        <v>45430.888888888891</v>
      </c>
      <c r="BC211" s="94">
        <v>45430.894444444442</v>
      </c>
      <c r="BD211" s="94">
        <v>45431.024305555555</v>
      </c>
      <c r="BE211" s="95">
        <f t="shared" si="99"/>
        <v>0.20138888889050577</v>
      </c>
      <c r="BF211" s="95">
        <v>0</v>
      </c>
      <c r="BG211" s="95">
        <v>1.2500000000000001E-2</v>
      </c>
      <c r="BH211" s="95">
        <f t="shared" si="100"/>
        <v>6.5972222226264421E-2</v>
      </c>
      <c r="BI211" s="95">
        <f t="shared" si="100"/>
        <v>5.5555555518367328E-3</v>
      </c>
      <c r="BJ211" s="95">
        <f t="shared" si="100"/>
        <v>0.12986111111240461</v>
      </c>
      <c r="BK211" s="95">
        <f t="shared" si="101"/>
        <v>0.13541666666424135</v>
      </c>
      <c r="BL211" s="95">
        <f t="shared" si="102"/>
        <v>0.12291666666424135</v>
      </c>
      <c r="BM211" s="95" t="str">
        <f t="shared" si="103"/>
        <v>00:00</v>
      </c>
      <c r="BN211" s="110"/>
    </row>
    <row r="212" spans="1:66" s="8" customFormat="1" ht="12.75" customHeight="1" x14ac:dyDescent="0.25">
      <c r="A212" s="90">
        <v>174</v>
      </c>
      <c r="B212" s="90">
        <v>72</v>
      </c>
      <c r="C212" s="90">
        <v>6</v>
      </c>
      <c r="D212" s="90" t="s">
        <v>113</v>
      </c>
      <c r="E212" s="91" t="s">
        <v>319</v>
      </c>
      <c r="F212" s="90" t="s">
        <v>32</v>
      </c>
      <c r="G212" s="90" t="s">
        <v>8</v>
      </c>
      <c r="H212" s="90" t="s">
        <v>271</v>
      </c>
      <c r="I212" s="92" t="s">
        <v>346</v>
      </c>
      <c r="J212" s="93">
        <v>45424</v>
      </c>
      <c r="K212" s="92" t="s">
        <v>117</v>
      </c>
      <c r="L212" s="92">
        <v>262009674</v>
      </c>
      <c r="M212" s="93">
        <v>45431</v>
      </c>
      <c r="N212" s="94">
        <v>45431.104166666664</v>
      </c>
      <c r="O212" s="94">
        <v>45431.0625</v>
      </c>
      <c r="P212" s="94">
        <v>45431.107638888891</v>
      </c>
      <c r="Q212" s="94">
        <v>45431.260416666664</v>
      </c>
      <c r="R212" s="114">
        <v>45431.104166666664</v>
      </c>
      <c r="S212" s="114" t="s">
        <v>118</v>
      </c>
      <c r="T212" s="114"/>
      <c r="U212" s="114"/>
      <c r="V212" s="95">
        <f t="shared" si="94"/>
        <v>0.19791666666424135</v>
      </c>
      <c r="W212" s="95">
        <v>0.20833333333333334</v>
      </c>
      <c r="X212" s="95" t="str">
        <f t="shared" si="95"/>
        <v>00:00</v>
      </c>
      <c r="Y212" s="96">
        <v>0</v>
      </c>
      <c r="Z212" s="96">
        <v>58</v>
      </c>
      <c r="AA212" s="96">
        <f t="shared" si="65"/>
        <v>58</v>
      </c>
      <c r="AB212" s="97">
        <f t="shared" si="66"/>
        <v>0</v>
      </c>
      <c r="AC212" s="97">
        <f t="shared" si="67"/>
        <v>3969.87</v>
      </c>
      <c r="AD212" s="98">
        <v>3969.87</v>
      </c>
      <c r="AE212" s="98">
        <v>4058</v>
      </c>
      <c r="AF212" s="98">
        <v>4058</v>
      </c>
      <c r="AG212" s="98">
        <f t="shared" si="68"/>
        <v>88.130000000000109</v>
      </c>
      <c r="AH212" s="99">
        <v>1484</v>
      </c>
      <c r="AI212" s="100">
        <f t="shared" si="69"/>
        <v>6022072</v>
      </c>
      <c r="AJ212" s="100">
        <f t="shared" si="93"/>
        <v>0</v>
      </c>
      <c r="AK212" s="100">
        <v>0</v>
      </c>
      <c r="AL212" s="100">
        <v>0</v>
      </c>
      <c r="AM212" s="100">
        <v>0</v>
      </c>
      <c r="AN212" s="100">
        <v>0</v>
      </c>
      <c r="AO212" s="100">
        <v>0</v>
      </c>
      <c r="AP212" s="100">
        <f t="shared" si="82"/>
        <v>301104</v>
      </c>
      <c r="AQ212" s="101">
        <f t="shared" si="96"/>
        <v>6323176</v>
      </c>
      <c r="AR212" s="101">
        <v>0</v>
      </c>
      <c r="AS212" s="101">
        <v>0</v>
      </c>
      <c r="AT212" s="102" t="s">
        <v>34</v>
      </c>
      <c r="AU212" s="109" t="s">
        <v>118</v>
      </c>
      <c r="AV212" s="100">
        <v>0</v>
      </c>
      <c r="AW212" s="105"/>
      <c r="AX212" s="106">
        <f t="shared" si="97"/>
        <v>2.1717594874322352</v>
      </c>
      <c r="AY212" s="101">
        <f t="shared" si="98"/>
        <v>130785</v>
      </c>
      <c r="AZ212" s="107"/>
      <c r="BA212" s="94">
        <v>45431.104166666664</v>
      </c>
      <c r="BB212" s="94">
        <v>45431.107638888891</v>
      </c>
      <c r="BC212" s="94">
        <v>45431.107638888891</v>
      </c>
      <c r="BD212" s="94">
        <v>45431.230555555558</v>
      </c>
      <c r="BE212" s="95">
        <f t="shared" si="99"/>
        <v>0.12638888889341615</v>
      </c>
      <c r="BF212" s="95">
        <v>0</v>
      </c>
      <c r="BG212" s="95">
        <v>0</v>
      </c>
      <c r="BH212" s="95">
        <f t="shared" si="100"/>
        <v>3.4722222262644209E-3</v>
      </c>
      <c r="BI212" s="95">
        <f t="shared" si="100"/>
        <v>0</v>
      </c>
      <c r="BJ212" s="95">
        <f t="shared" si="100"/>
        <v>0.12291666666715173</v>
      </c>
      <c r="BK212" s="95">
        <f t="shared" si="101"/>
        <v>0.12291666666715173</v>
      </c>
      <c r="BL212" s="95">
        <f t="shared" si="102"/>
        <v>0.12291666666715173</v>
      </c>
      <c r="BM212" s="95" t="str">
        <f t="shared" si="103"/>
        <v>00:00</v>
      </c>
      <c r="BN212" s="110"/>
    </row>
    <row r="213" spans="1:66" s="8" customFormat="1" ht="12.75" customHeight="1" x14ac:dyDescent="0.25">
      <c r="A213" s="90">
        <v>175</v>
      </c>
      <c r="B213" s="90">
        <v>73</v>
      </c>
      <c r="C213" s="90">
        <v>3</v>
      </c>
      <c r="D213" s="90" t="s">
        <v>148</v>
      </c>
      <c r="E213" s="91" t="s">
        <v>340</v>
      </c>
      <c r="F213" s="90" t="s">
        <v>16</v>
      </c>
      <c r="G213" s="90" t="s">
        <v>17</v>
      </c>
      <c r="H213" s="90" t="s">
        <v>150</v>
      </c>
      <c r="I213" s="92" t="s">
        <v>347</v>
      </c>
      <c r="J213" s="93">
        <v>45429</v>
      </c>
      <c r="K213" s="92" t="s">
        <v>122</v>
      </c>
      <c r="L213" s="92">
        <v>461000244</v>
      </c>
      <c r="M213" s="93">
        <v>45431</v>
      </c>
      <c r="N213" s="94">
        <v>45431.322916666664</v>
      </c>
      <c r="O213" s="94">
        <v>45431.322916666664</v>
      </c>
      <c r="P213" s="94">
        <v>45431.326388888891</v>
      </c>
      <c r="Q213" s="94">
        <v>45431.5</v>
      </c>
      <c r="R213" s="114" t="s">
        <v>118</v>
      </c>
      <c r="S213" s="114" t="s">
        <v>118</v>
      </c>
      <c r="T213" s="114"/>
      <c r="U213" s="114"/>
      <c r="V213" s="95">
        <f t="shared" si="94"/>
        <v>0.17708333333575865</v>
      </c>
      <c r="W213" s="95">
        <v>0.20833333333333334</v>
      </c>
      <c r="X213" s="95" t="str">
        <f t="shared" si="95"/>
        <v>00:00</v>
      </c>
      <c r="Y213" s="96">
        <v>0</v>
      </c>
      <c r="Z213" s="96">
        <v>59</v>
      </c>
      <c r="AA213" s="96">
        <f t="shared" si="65"/>
        <v>59</v>
      </c>
      <c r="AB213" s="97">
        <f t="shared" si="66"/>
        <v>0</v>
      </c>
      <c r="AC213" s="97">
        <f t="shared" si="67"/>
        <v>4060.7299999999996</v>
      </c>
      <c r="AD213" s="98">
        <v>4060.73</v>
      </c>
      <c r="AE213" s="98">
        <v>4097</v>
      </c>
      <c r="AF213" s="98">
        <v>4104.3999999999996</v>
      </c>
      <c r="AG213" s="98">
        <f t="shared" si="68"/>
        <v>43.669999999999618</v>
      </c>
      <c r="AH213" s="99">
        <v>672.5</v>
      </c>
      <c r="AI213" s="100">
        <f t="shared" si="69"/>
        <v>2760208.9999999995</v>
      </c>
      <c r="AJ213" s="100">
        <f>(0.4*AH213)*2</f>
        <v>538</v>
      </c>
      <c r="AK213" s="100">
        <v>0</v>
      </c>
      <c r="AL213" s="100">
        <v>0</v>
      </c>
      <c r="AM213" s="100">
        <v>0</v>
      </c>
      <c r="AN213" s="100">
        <v>0</v>
      </c>
      <c r="AO213" s="100">
        <v>0</v>
      </c>
      <c r="AP213" s="100">
        <f t="shared" si="82"/>
        <v>138038</v>
      </c>
      <c r="AQ213" s="101">
        <f t="shared" si="96"/>
        <v>2898785</v>
      </c>
      <c r="AR213" s="101">
        <v>0</v>
      </c>
      <c r="AS213" s="101">
        <v>0</v>
      </c>
      <c r="AT213" s="102" t="s">
        <v>33</v>
      </c>
      <c r="AU213" s="109" t="s">
        <v>118</v>
      </c>
      <c r="AV213" s="100">
        <v>0</v>
      </c>
      <c r="AW213" s="105"/>
      <c r="AX213" s="106">
        <f t="shared" si="97"/>
        <v>1.0639801188967843</v>
      </c>
      <c r="AY213" s="101">
        <f t="shared" si="98"/>
        <v>29369</v>
      </c>
      <c r="AZ213" s="107"/>
      <c r="BA213" s="94">
        <v>45431.322916666664</v>
      </c>
      <c r="BB213" s="94">
        <v>45431.326388888891</v>
      </c>
      <c r="BC213" s="94">
        <v>45431.326388888891</v>
      </c>
      <c r="BD213" s="94">
        <v>45431.435416666667</v>
      </c>
      <c r="BE213" s="95">
        <f t="shared" si="99"/>
        <v>0.11250000000291038</v>
      </c>
      <c r="BF213" s="95">
        <v>0</v>
      </c>
      <c r="BG213" s="95">
        <v>0</v>
      </c>
      <c r="BH213" s="95">
        <f t="shared" si="100"/>
        <v>3.4722222262644209E-3</v>
      </c>
      <c r="BI213" s="95">
        <f t="shared" si="100"/>
        <v>0</v>
      </c>
      <c r="BJ213" s="95">
        <f t="shared" si="100"/>
        <v>0.10902777777664596</v>
      </c>
      <c r="BK213" s="95">
        <f t="shared" si="101"/>
        <v>0.10902777777664596</v>
      </c>
      <c r="BL213" s="95">
        <f t="shared" si="102"/>
        <v>0.10902777777664596</v>
      </c>
      <c r="BM213" s="95" t="str">
        <f t="shared" si="103"/>
        <v>00:00</v>
      </c>
      <c r="BN213" s="110"/>
    </row>
    <row r="214" spans="1:66" s="8" customFormat="1" ht="12.75" customHeight="1" x14ac:dyDescent="0.25">
      <c r="A214" s="90">
        <v>176</v>
      </c>
      <c r="B214" s="90">
        <v>74</v>
      </c>
      <c r="C214" s="90">
        <v>7</v>
      </c>
      <c r="D214" s="90" t="s">
        <v>113</v>
      </c>
      <c r="E214" s="91" t="s">
        <v>296</v>
      </c>
      <c r="F214" s="90" t="s">
        <v>32</v>
      </c>
      <c r="G214" s="90" t="s">
        <v>15</v>
      </c>
      <c r="H214" s="90" t="s">
        <v>213</v>
      </c>
      <c r="I214" s="92" t="s">
        <v>348</v>
      </c>
      <c r="J214" s="93">
        <v>45429</v>
      </c>
      <c r="K214" s="92" t="s">
        <v>117</v>
      </c>
      <c r="L214" s="92">
        <v>262009675</v>
      </c>
      <c r="M214" s="93">
        <v>45431</v>
      </c>
      <c r="N214" s="94">
        <v>45431.458333333336</v>
      </c>
      <c r="O214" s="94">
        <v>45431.458333333336</v>
      </c>
      <c r="P214" s="94">
        <v>45431.465277777781</v>
      </c>
      <c r="Q214" s="94">
        <v>45431.666666666664</v>
      </c>
      <c r="R214" s="114" t="s">
        <v>118</v>
      </c>
      <c r="S214" s="114" t="s">
        <v>118</v>
      </c>
      <c r="T214" s="114"/>
      <c r="U214" s="114"/>
      <c r="V214" s="95">
        <f t="shared" si="94"/>
        <v>0.20833333332848269</v>
      </c>
      <c r="W214" s="95">
        <v>0.20833333333333334</v>
      </c>
      <c r="X214" s="95" t="str">
        <f t="shared" si="95"/>
        <v>00:00</v>
      </c>
      <c r="Y214" s="96">
        <v>0</v>
      </c>
      <c r="Z214" s="96">
        <v>58</v>
      </c>
      <c r="AA214" s="96">
        <f t="shared" si="65"/>
        <v>58</v>
      </c>
      <c r="AB214" s="97">
        <f t="shared" si="66"/>
        <v>0</v>
      </c>
      <c r="AC214" s="97">
        <f t="shared" si="67"/>
        <v>3983.25</v>
      </c>
      <c r="AD214" s="98">
        <v>3983.25</v>
      </c>
      <c r="AE214" s="98">
        <v>4036.5</v>
      </c>
      <c r="AF214" s="98">
        <v>4038</v>
      </c>
      <c r="AG214" s="98">
        <f t="shared" si="68"/>
        <v>54.75</v>
      </c>
      <c r="AH214" s="99">
        <v>2329.4</v>
      </c>
      <c r="AI214" s="100">
        <f t="shared" si="69"/>
        <v>9406117.2000000011</v>
      </c>
      <c r="AJ214" s="100">
        <f>(0*AH214)*2</f>
        <v>0</v>
      </c>
      <c r="AK214" s="100">
        <v>0</v>
      </c>
      <c r="AL214" s="100">
        <v>0</v>
      </c>
      <c r="AM214" s="100">
        <v>0</v>
      </c>
      <c r="AN214" s="100">
        <v>0</v>
      </c>
      <c r="AO214" s="100">
        <v>0</v>
      </c>
      <c r="AP214" s="100">
        <f t="shared" ref="AP214:AP245" si="104">ROUNDUP(SUM(AI214:AO214)*5%,0)</f>
        <v>470306</v>
      </c>
      <c r="AQ214" s="101">
        <f t="shared" si="96"/>
        <v>9876424</v>
      </c>
      <c r="AR214" s="101">
        <v>0</v>
      </c>
      <c r="AS214" s="101">
        <v>0</v>
      </c>
      <c r="AT214" s="102" t="s">
        <v>33</v>
      </c>
      <c r="AU214" s="109" t="s">
        <v>118</v>
      </c>
      <c r="AV214" s="100">
        <v>0</v>
      </c>
      <c r="AW214" s="105"/>
      <c r="AX214" s="106">
        <f t="shared" si="97"/>
        <v>1.3558692421991085</v>
      </c>
      <c r="AY214" s="101">
        <f t="shared" si="98"/>
        <v>127535</v>
      </c>
      <c r="AZ214" s="107"/>
      <c r="BA214" s="94">
        <v>45431.458333333336</v>
      </c>
      <c r="BB214" s="94">
        <v>45431.465277777781</v>
      </c>
      <c r="BC214" s="94">
        <v>45431.465277777781</v>
      </c>
      <c r="BD214" s="94">
        <v>45431.609722222223</v>
      </c>
      <c r="BE214" s="95">
        <f t="shared" si="99"/>
        <v>0.15138888888759539</v>
      </c>
      <c r="BF214" s="95">
        <v>0</v>
      </c>
      <c r="BG214" s="95">
        <v>7.6388888888888895E-2</v>
      </c>
      <c r="BH214" s="95">
        <f t="shared" si="100"/>
        <v>6.9444444452528842E-3</v>
      </c>
      <c r="BI214" s="95">
        <f t="shared" si="100"/>
        <v>0</v>
      </c>
      <c r="BJ214" s="95">
        <f t="shared" si="100"/>
        <v>0.1444444444423425</v>
      </c>
      <c r="BK214" s="95">
        <f t="shared" si="101"/>
        <v>0.1444444444423425</v>
      </c>
      <c r="BL214" s="95">
        <f t="shared" si="102"/>
        <v>6.8055555553453606E-2</v>
      </c>
      <c r="BM214" s="95" t="str">
        <f t="shared" si="103"/>
        <v>00:00</v>
      </c>
      <c r="BN214" s="110"/>
    </row>
    <row r="215" spans="1:66" s="8" customFormat="1" ht="12.75" customHeight="1" x14ac:dyDescent="0.25">
      <c r="A215" s="90">
        <v>177</v>
      </c>
      <c r="B215" s="90">
        <v>75</v>
      </c>
      <c r="C215" s="90">
        <v>4</v>
      </c>
      <c r="D215" s="90" t="s">
        <v>148</v>
      </c>
      <c r="E215" s="91" t="s">
        <v>340</v>
      </c>
      <c r="F215" s="90" t="s">
        <v>16</v>
      </c>
      <c r="G215" s="90" t="s">
        <v>17</v>
      </c>
      <c r="H215" s="90" t="s">
        <v>150</v>
      </c>
      <c r="I215" s="92" t="s">
        <v>349</v>
      </c>
      <c r="J215" s="93">
        <v>45429</v>
      </c>
      <c r="K215" s="92" t="s">
        <v>122</v>
      </c>
      <c r="L215" s="92">
        <v>461000245</v>
      </c>
      <c r="M215" s="93">
        <v>45432</v>
      </c>
      <c r="N215" s="94">
        <v>45431.732638888891</v>
      </c>
      <c r="O215" s="94">
        <v>45431.71875</v>
      </c>
      <c r="P215" s="94">
        <v>45431.736111111109</v>
      </c>
      <c r="Q215" s="94">
        <v>45431.895833333336</v>
      </c>
      <c r="R215" s="114">
        <v>45431.732638888891</v>
      </c>
      <c r="S215" s="114" t="s">
        <v>118</v>
      </c>
      <c r="T215" s="114"/>
      <c r="U215" s="114"/>
      <c r="V215" s="95">
        <f t="shared" si="94"/>
        <v>0.17708333333575865</v>
      </c>
      <c r="W215" s="95">
        <v>0.20833333333333334</v>
      </c>
      <c r="X215" s="95" t="str">
        <f t="shared" si="95"/>
        <v>00:00</v>
      </c>
      <c r="Y215" s="96">
        <v>0</v>
      </c>
      <c r="Z215" s="96">
        <v>58</v>
      </c>
      <c r="AA215" s="96">
        <f t="shared" si="65"/>
        <v>58</v>
      </c>
      <c r="AB215" s="97">
        <f t="shared" si="66"/>
        <v>0</v>
      </c>
      <c r="AC215" s="97">
        <f t="shared" si="67"/>
        <v>3911.3400000000006</v>
      </c>
      <c r="AD215" s="98">
        <v>3911.34</v>
      </c>
      <c r="AE215" s="98">
        <v>3994.6</v>
      </c>
      <c r="AF215" s="98">
        <v>3995.2</v>
      </c>
      <c r="AG215" s="98">
        <f t="shared" si="68"/>
        <v>83.859999999999673</v>
      </c>
      <c r="AH215" s="99">
        <v>672.5</v>
      </c>
      <c r="AI215" s="100">
        <f t="shared" si="69"/>
        <v>2686772</v>
      </c>
      <c r="AJ215" s="100">
        <f>(0*AH215)*2</f>
        <v>0</v>
      </c>
      <c r="AK215" s="100">
        <v>0</v>
      </c>
      <c r="AL215" s="100">
        <v>0</v>
      </c>
      <c r="AM215" s="100">
        <v>0</v>
      </c>
      <c r="AN215" s="100">
        <v>0</v>
      </c>
      <c r="AO215" s="100">
        <v>0</v>
      </c>
      <c r="AP215" s="100">
        <f t="shared" si="104"/>
        <v>134339</v>
      </c>
      <c r="AQ215" s="101">
        <f t="shared" si="96"/>
        <v>2821111</v>
      </c>
      <c r="AR215" s="101">
        <v>0</v>
      </c>
      <c r="AS215" s="101">
        <v>0</v>
      </c>
      <c r="AT215" s="102" t="s">
        <v>33</v>
      </c>
      <c r="AU215" s="109" t="s">
        <v>118</v>
      </c>
      <c r="AV215" s="100">
        <v>0</v>
      </c>
      <c r="AW215" s="105"/>
      <c r="AX215" s="106">
        <f t="shared" si="97"/>
        <v>2.0990188225870963</v>
      </c>
      <c r="AY215" s="101">
        <f t="shared" si="98"/>
        <v>56396</v>
      </c>
      <c r="AZ215" s="107"/>
      <c r="BA215" s="94">
        <v>45431.732638888891</v>
      </c>
      <c r="BB215" s="94">
        <v>45431.739583333336</v>
      </c>
      <c r="BC215" s="94">
        <v>45431.739583333336</v>
      </c>
      <c r="BD215" s="94">
        <v>45431.849305555559</v>
      </c>
      <c r="BE215" s="95">
        <f t="shared" si="99"/>
        <v>0.11666666666860692</v>
      </c>
      <c r="BF215" s="95">
        <v>2.0833333333333333E-3</v>
      </c>
      <c r="BG215" s="95">
        <v>0</v>
      </c>
      <c r="BH215" s="95">
        <f t="shared" si="100"/>
        <v>6.9444444452528842E-3</v>
      </c>
      <c r="BI215" s="95">
        <f t="shared" si="100"/>
        <v>0</v>
      </c>
      <c r="BJ215" s="95">
        <f t="shared" si="100"/>
        <v>0.10972222222335404</v>
      </c>
      <c r="BK215" s="95">
        <f t="shared" si="101"/>
        <v>0.10972222222335404</v>
      </c>
      <c r="BL215" s="95">
        <f t="shared" si="102"/>
        <v>0.1076388888900207</v>
      </c>
      <c r="BM215" s="95" t="str">
        <f t="shared" si="103"/>
        <v>00:00</v>
      </c>
      <c r="BN215" s="110"/>
    </row>
    <row r="216" spans="1:66" s="8" customFormat="1" ht="12.75" customHeight="1" x14ac:dyDescent="0.25">
      <c r="A216" s="90">
        <v>178</v>
      </c>
      <c r="B216" s="90">
        <v>76</v>
      </c>
      <c r="C216" s="90">
        <v>7</v>
      </c>
      <c r="D216" s="90" t="s">
        <v>113</v>
      </c>
      <c r="E216" s="91" t="s">
        <v>319</v>
      </c>
      <c r="F216" s="90" t="s">
        <v>32</v>
      </c>
      <c r="G216" s="90" t="s">
        <v>8</v>
      </c>
      <c r="H216" s="90" t="s">
        <v>146</v>
      </c>
      <c r="I216" s="92" t="s">
        <v>350</v>
      </c>
      <c r="J216" s="93">
        <v>45430</v>
      </c>
      <c r="K216" s="92" t="s">
        <v>117</v>
      </c>
      <c r="L216" s="92">
        <v>261005728</v>
      </c>
      <c r="M216" s="93">
        <v>45432</v>
      </c>
      <c r="N216" s="94">
        <v>45431.822916666664</v>
      </c>
      <c r="O216" s="94">
        <v>45431.822916666664</v>
      </c>
      <c r="P216" s="94">
        <v>45431.826388888891</v>
      </c>
      <c r="Q216" s="94">
        <v>45431.989583333336</v>
      </c>
      <c r="R216" s="114" t="s">
        <v>118</v>
      </c>
      <c r="S216" s="114" t="s">
        <v>118</v>
      </c>
      <c r="T216" s="114"/>
      <c r="U216" s="114"/>
      <c r="V216" s="95">
        <f t="shared" si="94"/>
        <v>0.16666666667151731</v>
      </c>
      <c r="W216" s="95">
        <v>0.20833333333333334</v>
      </c>
      <c r="X216" s="95" t="str">
        <f t="shared" si="95"/>
        <v>00:00</v>
      </c>
      <c r="Y216" s="96">
        <v>2</v>
      </c>
      <c r="Z216" s="96">
        <v>57</v>
      </c>
      <c r="AA216" s="96">
        <f t="shared" si="65"/>
        <v>59</v>
      </c>
      <c r="AB216" s="97">
        <f t="shared" si="66"/>
        <v>134.40711864406779</v>
      </c>
      <c r="AC216" s="97">
        <f t="shared" si="67"/>
        <v>3830.6028813559319</v>
      </c>
      <c r="AD216" s="98">
        <v>3965.01</v>
      </c>
      <c r="AE216" s="98">
        <v>4080.4</v>
      </c>
      <c r="AF216" s="98">
        <v>4084.6</v>
      </c>
      <c r="AG216" s="98">
        <f t="shared" si="68"/>
        <v>119.58999999999969</v>
      </c>
      <c r="AH216" s="99">
        <v>1398.7</v>
      </c>
      <c r="AI216" s="100">
        <f t="shared" si="69"/>
        <v>5713130.0200000005</v>
      </c>
      <c r="AJ216" s="100">
        <f>(0*AH216)*2</f>
        <v>0</v>
      </c>
      <c r="AK216" s="100">
        <v>0</v>
      </c>
      <c r="AL216" s="100">
        <v>24290</v>
      </c>
      <c r="AM216" s="100">
        <v>0</v>
      </c>
      <c r="AN216" s="100">
        <v>0</v>
      </c>
      <c r="AO216" s="100">
        <v>0</v>
      </c>
      <c r="AP216" s="100">
        <f t="shared" si="104"/>
        <v>286872</v>
      </c>
      <c r="AQ216" s="101">
        <f t="shared" si="96"/>
        <v>6024293</v>
      </c>
      <c r="AR216" s="101">
        <v>0</v>
      </c>
      <c r="AS216" s="101">
        <v>0</v>
      </c>
      <c r="AT216" s="102" t="s">
        <v>33</v>
      </c>
      <c r="AU216" s="109"/>
      <c r="AV216" s="100">
        <v>3</v>
      </c>
      <c r="AW216" s="105"/>
      <c r="AX216" s="106">
        <f t="shared" si="97"/>
        <v>2.9278264701561891</v>
      </c>
      <c r="AY216" s="101">
        <f t="shared" si="98"/>
        <v>167271</v>
      </c>
      <c r="AZ216" s="107"/>
      <c r="BA216" s="94">
        <v>45431.822916666664</v>
      </c>
      <c r="BB216" s="94">
        <v>45431.826388888891</v>
      </c>
      <c r="BC216" s="94">
        <v>45431.878472222219</v>
      </c>
      <c r="BD216" s="94">
        <v>45431.999305555553</v>
      </c>
      <c r="BE216" s="95">
        <f t="shared" si="99"/>
        <v>0.17638888888905058</v>
      </c>
      <c r="BF216" s="95">
        <v>1.0416666666666666E-2</v>
      </c>
      <c r="BG216" s="95">
        <v>4.3749999999999997E-2</v>
      </c>
      <c r="BH216" s="95">
        <f t="shared" si="100"/>
        <v>3.4722222262644209E-3</v>
      </c>
      <c r="BI216" s="95">
        <f t="shared" si="100"/>
        <v>5.2083333328482695E-2</v>
      </c>
      <c r="BJ216" s="95">
        <f t="shared" si="100"/>
        <v>0.12083333333430346</v>
      </c>
      <c r="BK216" s="95">
        <f t="shared" si="101"/>
        <v>0.17291666666278616</v>
      </c>
      <c r="BL216" s="95">
        <f t="shared" si="102"/>
        <v>0.1187499999961195</v>
      </c>
      <c r="BM216" s="95" t="str">
        <f t="shared" si="103"/>
        <v>00:00</v>
      </c>
      <c r="BN216" s="110"/>
    </row>
    <row r="217" spans="1:66" s="8" customFormat="1" ht="12.75" customHeight="1" x14ac:dyDescent="0.25">
      <c r="A217" s="90">
        <v>179</v>
      </c>
      <c r="B217" s="90">
        <v>77</v>
      </c>
      <c r="C217" s="90">
        <v>5</v>
      </c>
      <c r="D217" s="90" t="s">
        <v>148</v>
      </c>
      <c r="E217" s="91" t="s">
        <v>340</v>
      </c>
      <c r="F217" s="90" t="s">
        <v>16</v>
      </c>
      <c r="G217" s="90" t="s">
        <v>17</v>
      </c>
      <c r="H217" s="90" t="s">
        <v>150</v>
      </c>
      <c r="I217" s="92" t="s">
        <v>351</v>
      </c>
      <c r="J217" s="93">
        <v>45429</v>
      </c>
      <c r="K217" s="92" t="s">
        <v>122</v>
      </c>
      <c r="L217" s="92">
        <v>461000246</v>
      </c>
      <c r="M217" s="93">
        <v>45432</v>
      </c>
      <c r="N217" s="94">
        <v>45432.104166666664</v>
      </c>
      <c r="O217" s="94">
        <v>45432.104166666664</v>
      </c>
      <c r="P217" s="94">
        <v>45432.107638888891</v>
      </c>
      <c r="Q217" s="94">
        <v>45432.270833333336</v>
      </c>
      <c r="R217" s="114" t="s">
        <v>118</v>
      </c>
      <c r="S217" s="114" t="s">
        <v>118</v>
      </c>
      <c r="T217" s="114"/>
      <c r="U217" s="114"/>
      <c r="V217" s="95">
        <f t="shared" si="94"/>
        <v>0.16666666667151731</v>
      </c>
      <c r="W217" s="95">
        <v>0.20833333333333334</v>
      </c>
      <c r="X217" s="95" t="str">
        <f t="shared" si="95"/>
        <v>00:00</v>
      </c>
      <c r="Y217" s="96">
        <v>0</v>
      </c>
      <c r="Z217" s="96">
        <v>59</v>
      </c>
      <c r="AA217" s="96">
        <f t="shared" si="65"/>
        <v>59</v>
      </c>
      <c r="AB217" s="97">
        <f t="shared" si="66"/>
        <v>0</v>
      </c>
      <c r="AC217" s="97">
        <f t="shared" si="67"/>
        <v>4082.84</v>
      </c>
      <c r="AD217" s="98">
        <v>4082.84</v>
      </c>
      <c r="AE217" s="98">
        <v>4096.8</v>
      </c>
      <c r="AF217" s="98">
        <v>4109.6000000000004</v>
      </c>
      <c r="AG217" s="98">
        <f t="shared" si="68"/>
        <v>26.760000000000218</v>
      </c>
      <c r="AH217" s="99">
        <v>672.5</v>
      </c>
      <c r="AI217" s="100">
        <f t="shared" si="69"/>
        <v>2763706.0000000005</v>
      </c>
      <c r="AJ217" s="100">
        <f>(0*AH217)*2</f>
        <v>0</v>
      </c>
      <c r="AK217" s="100">
        <v>0</v>
      </c>
      <c r="AL217" s="100">
        <v>24290</v>
      </c>
      <c r="AM217" s="100">
        <v>0</v>
      </c>
      <c r="AN217" s="100">
        <v>0</v>
      </c>
      <c r="AO217" s="100">
        <v>0</v>
      </c>
      <c r="AP217" s="100">
        <f t="shared" si="104"/>
        <v>139400</v>
      </c>
      <c r="AQ217" s="101">
        <f t="shared" si="96"/>
        <v>2927396</v>
      </c>
      <c r="AR217" s="101">
        <v>0</v>
      </c>
      <c r="AS217" s="101">
        <v>0</v>
      </c>
      <c r="AT217" s="102" t="s">
        <v>34</v>
      </c>
      <c r="AU217" s="109"/>
      <c r="AV217" s="100">
        <f>14.39-11.89</f>
        <v>2.5</v>
      </c>
      <c r="AW217" s="105"/>
      <c r="AX217" s="106">
        <f t="shared" si="97"/>
        <v>0.65115826357796902</v>
      </c>
      <c r="AY217" s="101">
        <f t="shared" si="98"/>
        <v>17997</v>
      </c>
      <c r="AZ217" s="107"/>
      <c r="BA217" s="94">
        <v>45432.104166666664</v>
      </c>
      <c r="BB217" s="94">
        <v>45432.107638888891</v>
      </c>
      <c r="BC217" s="94">
        <v>45432.107638888891</v>
      </c>
      <c r="BD217" s="94">
        <v>45432.232638888891</v>
      </c>
      <c r="BE217" s="95">
        <f t="shared" si="99"/>
        <v>0.12847222222626442</v>
      </c>
      <c r="BF217" s="95">
        <v>0</v>
      </c>
      <c r="BG217" s="95">
        <v>0</v>
      </c>
      <c r="BH217" s="95">
        <f t="shared" si="100"/>
        <v>3.4722222262644209E-3</v>
      </c>
      <c r="BI217" s="95">
        <f t="shared" si="100"/>
        <v>0</v>
      </c>
      <c r="BJ217" s="95">
        <f t="shared" si="100"/>
        <v>0.125</v>
      </c>
      <c r="BK217" s="95">
        <f t="shared" si="101"/>
        <v>0.125</v>
      </c>
      <c r="BL217" s="95">
        <f t="shared" si="102"/>
        <v>0.125</v>
      </c>
      <c r="BM217" s="95" t="str">
        <f t="shared" si="103"/>
        <v>00:00</v>
      </c>
      <c r="BN217" s="110"/>
    </row>
    <row r="218" spans="1:66" s="8" customFormat="1" ht="12.75" customHeight="1" x14ac:dyDescent="0.25">
      <c r="A218" s="90">
        <v>180</v>
      </c>
      <c r="B218" s="90">
        <v>78</v>
      </c>
      <c r="C218" s="90">
        <v>4</v>
      </c>
      <c r="D218" s="90" t="s">
        <v>113</v>
      </c>
      <c r="E218" s="91" t="s">
        <v>299</v>
      </c>
      <c r="F218" s="90" t="s">
        <v>7</v>
      </c>
      <c r="G218" s="90" t="s">
        <v>8</v>
      </c>
      <c r="H218" s="90" t="s">
        <v>300</v>
      </c>
      <c r="I218" s="92" t="s">
        <v>352</v>
      </c>
      <c r="J218" s="93">
        <v>45420</v>
      </c>
      <c r="K218" s="92" t="s">
        <v>117</v>
      </c>
      <c r="L218" s="92">
        <v>282000920</v>
      </c>
      <c r="M218" s="93">
        <v>45432</v>
      </c>
      <c r="N218" s="94">
        <v>45432.222222222219</v>
      </c>
      <c r="O218" s="94">
        <v>45432.222222222219</v>
      </c>
      <c r="P218" s="94">
        <v>45432.225694444445</v>
      </c>
      <c r="Q218" s="94">
        <v>45432.385416666664</v>
      </c>
      <c r="R218" s="114" t="s">
        <v>118</v>
      </c>
      <c r="S218" s="114" t="s">
        <v>118</v>
      </c>
      <c r="T218" s="114"/>
      <c r="U218" s="114"/>
      <c r="V218" s="95">
        <f t="shared" si="94"/>
        <v>0.16319444444525288</v>
      </c>
      <c r="W218" s="95">
        <v>0.20833333333333334</v>
      </c>
      <c r="X218" s="95" t="str">
        <f t="shared" si="95"/>
        <v>00:00</v>
      </c>
      <c r="Y218" s="96">
        <v>0</v>
      </c>
      <c r="Z218" s="96">
        <v>59</v>
      </c>
      <c r="AA218" s="96">
        <f t="shared" si="65"/>
        <v>59</v>
      </c>
      <c r="AB218" s="97">
        <f t="shared" si="66"/>
        <v>0</v>
      </c>
      <c r="AC218" s="97">
        <f t="shared" si="67"/>
        <v>4054.26</v>
      </c>
      <c r="AD218" s="98">
        <v>4054.26</v>
      </c>
      <c r="AE218" s="98">
        <v>4100.5</v>
      </c>
      <c r="AF218" s="98">
        <v>4105.8</v>
      </c>
      <c r="AG218" s="98">
        <f t="shared" si="68"/>
        <v>51.539999999999964</v>
      </c>
      <c r="AH218" s="99">
        <v>1484</v>
      </c>
      <c r="AI218" s="100">
        <f t="shared" si="69"/>
        <v>6093007.2000000002</v>
      </c>
      <c r="AJ218" s="100">
        <f>(0.2*AH218)*2</f>
        <v>593.6</v>
      </c>
      <c r="AK218" s="100">
        <v>0</v>
      </c>
      <c r="AL218" s="100">
        <v>0</v>
      </c>
      <c r="AM218" s="100">
        <v>0</v>
      </c>
      <c r="AN218" s="100">
        <v>0</v>
      </c>
      <c r="AO218" s="100">
        <v>0</v>
      </c>
      <c r="AP218" s="100">
        <f t="shared" si="104"/>
        <v>304681</v>
      </c>
      <c r="AQ218" s="101">
        <f t="shared" si="96"/>
        <v>6398282</v>
      </c>
      <c r="AR218" s="101">
        <v>0</v>
      </c>
      <c r="AS218" s="101">
        <v>0</v>
      </c>
      <c r="AT218" s="102" t="s">
        <v>33</v>
      </c>
      <c r="AU218" s="109" t="s">
        <v>118</v>
      </c>
      <c r="AV218" s="100">
        <v>0</v>
      </c>
      <c r="AW218" s="105"/>
      <c r="AX218" s="106">
        <f t="shared" si="97"/>
        <v>1.2552973841882207</v>
      </c>
      <c r="AY218" s="101">
        <f t="shared" si="98"/>
        <v>76486</v>
      </c>
      <c r="AZ218" s="107"/>
      <c r="BA218" s="94">
        <v>45432.222222222219</v>
      </c>
      <c r="BB218" s="94">
        <v>45432.225694444445</v>
      </c>
      <c r="BC218" s="94">
        <v>45432.243055555555</v>
      </c>
      <c r="BD218" s="94">
        <v>45432.376388888886</v>
      </c>
      <c r="BE218" s="95">
        <f t="shared" si="99"/>
        <v>0.15416666666715173</v>
      </c>
      <c r="BF218" s="95">
        <v>1.0416666666666666E-2</v>
      </c>
      <c r="BG218" s="95">
        <v>2.2222222222222223E-2</v>
      </c>
      <c r="BH218" s="95">
        <f t="shared" si="100"/>
        <v>3.4722222262644209E-3</v>
      </c>
      <c r="BI218" s="95">
        <f t="shared" si="100"/>
        <v>1.7361111109494232E-2</v>
      </c>
      <c r="BJ218" s="95">
        <f t="shared" si="100"/>
        <v>0.13333333333139308</v>
      </c>
      <c r="BK218" s="95">
        <f t="shared" si="101"/>
        <v>0.15069444444088731</v>
      </c>
      <c r="BL218" s="95">
        <f t="shared" si="102"/>
        <v>0.11805555555199843</v>
      </c>
      <c r="BM218" s="95" t="str">
        <f t="shared" si="103"/>
        <v>00:00</v>
      </c>
      <c r="BN218" s="110"/>
    </row>
    <row r="219" spans="1:66" s="8" customFormat="1" ht="12.75" customHeight="1" x14ac:dyDescent="0.25">
      <c r="A219" s="90">
        <v>181</v>
      </c>
      <c r="B219" s="90">
        <v>79</v>
      </c>
      <c r="C219" s="90">
        <v>6</v>
      </c>
      <c r="D219" s="90" t="s">
        <v>148</v>
      </c>
      <c r="E219" s="91" t="s">
        <v>340</v>
      </c>
      <c r="F219" s="90" t="s">
        <v>16</v>
      </c>
      <c r="G219" s="90" t="s">
        <v>17</v>
      </c>
      <c r="H219" s="90" t="s">
        <v>150</v>
      </c>
      <c r="I219" s="92" t="s">
        <v>353</v>
      </c>
      <c r="J219" s="93">
        <v>45431</v>
      </c>
      <c r="K219" s="92" t="s">
        <v>122</v>
      </c>
      <c r="L219" s="92">
        <v>461000247</v>
      </c>
      <c r="M219" s="93">
        <v>45432</v>
      </c>
      <c r="N219" s="94">
        <v>45432.59375</v>
      </c>
      <c r="O219" s="94">
        <v>45432.59375</v>
      </c>
      <c r="P219" s="94">
        <v>45432.597222222219</v>
      </c>
      <c r="Q219" s="94">
        <v>45432.791666666664</v>
      </c>
      <c r="R219" s="114" t="s">
        <v>118</v>
      </c>
      <c r="S219" s="114" t="s">
        <v>118</v>
      </c>
      <c r="T219" s="114"/>
      <c r="U219" s="114"/>
      <c r="V219" s="95">
        <f t="shared" si="94"/>
        <v>0.19791666666424135</v>
      </c>
      <c r="W219" s="95">
        <v>0.20833333333333334</v>
      </c>
      <c r="X219" s="95" t="str">
        <f t="shared" si="95"/>
        <v>00:00</v>
      </c>
      <c r="Y219" s="96">
        <v>0</v>
      </c>
      <c r="Z219" s="96">
        <v>58</v>
      </c>
      <c r="AA219" s="96">
        <f t="shared" si="65"/>
        <v>58</v>
      </c>
      <c r="AB219" s="97">
        <f t="shared" si="66"/>
        <v>0</v>
      </c>
      <c r="AC219" s="97">
        <f t="shared" si="67"/>
        <v>4046.91</v>
      </c>
      <c r="AD219" s="98">
        <v>4046.91</v>
      </c>
      <c r="AE219" s="98">
        <v>4037.8</v>
      </c>
      <c r="AF219" s="98">
        <v>4067</v>
      </c>
      <c r="AG219" s="98">
        <f t="shared" si="68"/>
        <v>20.090000000000146</v>
      </c>
      <c r="AH219" s="99">
        <v>672.5</v>
      </c>
      <c r="AI219" s="100">
        <f t="shared" si="69"/>
        <v>2735057.5</v>
      </c>
      <c r="AJ219" s="100">
        <f t="shared" ref="AJ219:AJ231" si="105">(0*AH219)*2</f>
        <v>0</v>
      </c>
      <c r="AK219" s="100">
        <v>0</v>
      </c>
      <c r="AL219" s="100">
        <v>24140</v>
      </c>
      <c r="AM219" s="100">
        <v>0</v>
      </c>
      <c r="AN219" s="100">
        <v>0</v>
      </c>
      <c r="AO219" s="100">
        <v>0</v>
      </c>
      <c r="AP219" s="100">
        <f t="shared" si="104"/>
        <v>137960</v>
      </c>
      <c r="AQ219" s="101">
        <f t="shared" si="96"/>
        <v>2897158</v>
      </c>
      <c r="AR219" s="101">
        <v>0</v>
      </c>
      <c r="AS219" s="101">
        <v>0</v>
      </c>
      <c r="AT219" s="102" t="s">
        <v>34</v>
      </c>
      <c r="AU219" s="109"/>
      <c r="AV219" s="100">
        <f>38.3-25.3</f>
        <v>12.999999999999996</v>
      </c>
      <c r="AW219" s="105"/>
      <c r="AX219" s="106">
        <f t="shared" si="97"/>
        <v>0.49397590361446142</v>
      </c>
      <c r="AY219" s="101">
        <f t="shared" si="98"/>
        <v>13511</v>
      </c>
      <c r="AZ219" s="107"/>
      <c r="BA219" s="94">
        <v>45432.59375</v>
      </c>
      <c r="BB219" s="94">
        <v>45432.597222222219</v>
      </c>
      <c r="BC219" s="94">
        <v>45432.628472222219</v>
      </c>
      <c r="BD219" s="94">
        <v>45432.760416666664</v>
      </c>
      <c r="BE219" s="95">
        <f t="shared" si="99"/>
        <v>0.16666666666424135</v>
      </c>
      <c r="BF219" s="95">
        <v>3.4027777777777775E-2</v>
      </c>
      <c r="BG219" s="95">
        <v>4.8611111111111112E-3</v>
      </c>
      <c r="BH219" s="95">
        <f t="shared" si="100"/>
        <v>3.4722222189884633E-3</v>
      </c>
      <c r="BI219" s="95">
        <f t="shared" si="100"/>
        <v>3.125E-2</v>
      </c>
      <c r="BJ219" s="95">
        <f t="shared" si="100"/>
        <v>0.13194444444525288</v>
      </c>
      <c r="BK219" s="95">
        <f t="shared" si="101"/>
        <v>0.16319444444525288</v>
      </c>
      <c r="BL219" s="95">
        <f t="shared" si="102"/>
        <v>0.12430555555636401</v>
      </c>
      <c r="BM219" s="95" t="str">
        <f t="shared" si="103"/>
        <v>00:00</v>
      </c>
      <c r="BN219" s="110"/>
    </row>
    <row r="220" spans="1:66" s="8" customFormat="1" ht="12.75" customHeight="1" x14ac:dyDescent="0.25">
      <c r="A220" s="90">
        <v>182</v>
      </c>
      <c r="B220" s="90">
        <v>80</v>
      </c>
      <c r="C220" s="90">
        <v>12</v>
      </c>
      <c r="D220" s="90" t="s">
        <v>113</v>
      </c>
      <c r="E220" s="91" t="s">
        <v>173</v>
      </c>
      <c r="F220" s="90" t="s">
        <v>27</v>
      </c>
      <c r="G220" s="90" t="s">
        <v>12</v>
      </c>
      <c r="H220" s="90" t="s">
        <v>115</v>
      </c>
      <c r="I220" s="92" t="s">
        <v>354</v>
      </c>
      <c r="J220" s="93">
        <v>45430</v>
      </c>
      <c r="K220" s="92" t="s">
        <v>117</v>
      </c>
      <c r="L220" s="92">
        <v>282000923</v>
      </c>
      <c r="M220" s="93">
        <v>45433</v>
      </c>
      <c r="N220" s="94">
        <v>45432.729166666664</v>
      </c>
      <c r="O220" s="94">
        <v>45432.729166666664</v>
      </c>
      <c r="P220" s="94">
        <v>45432.732638888891</v>
      </c>
      <c r="Q220" s="94">
        <v>45432.9375</v>
      </c>
      <c r="R220" s="114" t="s">
        <v>118</v>
      </c>
      <c r="S220" s="114">
        <v>45433.020833333336</v>
      </c>
      <c r="T220" s="114"/>
      <c r="U220" s="114"/>
      <c r="V220" s="95">
        <f t="shared" si="94"/>
        <v>0.20833333333575865</v>
      </c>
      <c r="W220" s="95">
        <v>0.20833333333333334</v>
      </c>
      <c r="X220" s="95">
        <f t="shared" si="95"/>
        <v>2.4253099528692701E-12</v>
      </c>
      <c r="Y220" s="96">
        <v>0</v>
      </c>
      <c r="Z220" s="96">
        <v>58</v>
      </c>
      <c r="AA220" s="96">
        <f t="shared" si="65"/>
        <v>58</v>
      </c>
      <c r="AB220" s="97">
        <f t="shared" si="66"/>
        <v>0</v>
      </c>
      <c r="AC220" s="97">
        <f t="shared" si="67"/>
        <v>3993.81</v>
      </c>
      <c r="AD220" s="98">
        <v>3993.81</v>
      </c>
      <c r="AE220" s="98">
        <v>4030.4</v>
      </c>
      <c r="AF220" s="98">
        <v>4048.2</v>
      </c>
      <c r="AG220" s="98">
        <f t="shared" si="68"/>
        <v>54.389999999999873</v>
      </c>
      <c r="AH220" s="99">
        <v>1586.7</v>
      </c>
      <c r="AI220" s="100">
        <f t="shared" si="69"/>
        <v>6423278.9399999995</v>
      </c>
      <c r="AJ220" s="100">
        <f t="shared" si="105"/>
        <v>0</v>
      </c>
      <c r="AK220" s="100">
        <v>0</v>
      </c>
      <c r="AL220" s="100">
        <v>24140</v>
      </c>
      <c r="AM220" s="100">
        <v>0</v>
      </c>
      <c r="AN220" s="100">
        <v>0</v>
      </c>
      <c r="AO220" s="100">
        <f>IFERROR(AF220*20+(((AJ220/AH220)/2)*20),0)</f>
        <v>80964</v>
      </c>
      <c r="AP220" s="100">
        <f t="shared" si="104"/>
        <v>326420</v>
      </c>
      <c r="AQ220" s="101">
        <f t="shared" si="96"/>
        <v>6854803</v>
      </c>
      <c r="AR220" s="101">
        <v>0</v>
      </c>
      <c r="AS220" s="101">
        <v>0</v>
      </c>
      <c r="AT220" s="102" t="s">
        <v>34</v>
      </c>
      <c r="AU220" s="109"/>
      <c r="AV220" s="100">
        <f>21-16.5</f>
        <v>4.5</v>
      </c>
      <c r="AW220" s="105"/>
      <c r="AX220" s="106">
        <f t="shared" si="97"/>
        <v>1.3435601007855311</v>
      </c>
      <c r="AY220" s="101">
        <f t="shared" si="98"/>
        <v>86301</v>
      </c>
      <c r="AZ220" s="107"/>
      <c r="BA220" s="94">
        <v>45432.729166666664</v>
      </c>
      <c r="BB220" s="94">
        <v>45432.732638888891</v>
      </c>
      <c r="BC220" s="94">
        <v>45432.802083333336</v>
      </c>
      <c r="BD220" s="94">
        <v>45433.015972222223</v>
      </c>
      <c r="BE220" s="95">
        <f t="shared" si="99"/>
        <v>0.28680555555911269</v>
      </c>
      <c r="BF220" s="95">
        <v>7.0833333333333331E-2</v>
      </c>
      <c r="BG220" s="95">
        <v>4.6527777777777779E-2</v>
      </c>
      <c r="BH220" s="95">
        <f t="shared" si="100"/>
        <v>3.4722222262644209E-3</v>
      </c>
      <c r="BI220" s="95">
        <f t="shared" si="100"/>
        <v>6.9444444445252884E-2</v>
      </c>
      <c r="BJ220" s="95">
        <f t="shared" si="100"/>
        <v>0.21388888888759539</v>
      </c>
      <c r="BK220" s="95">
        <f t="shared" si="101"/>
        <v>0.28333333333284827</v>
      </c>
      <c r="BL220" s="95">
        <f t="shared" si="102"/>
        <v>0.16597222222173716</v>
      </c>
      <c r="BM220" s="95">
        <f t="shared" si="103"/>
        <v>7.8472222225779348E-2</v>
      </c>
      <c r="BN220" s="110"/>
    </row>
    <row r="221" spans="1:66" s="8" customFormat="1" ht="12.75" customHeight="1" x14ac:dyDescent="0.25">
      <c r="A221" s="90">
        <v>183</v>
      </c>
      <c r="B221" s="90">
        <v>81</v>
      </c>
      <c r="C221" s="90">
        <v>7</v>
      </c>
      <c r="D221" s="90" t="s">
        <v>148</v>
      </c>
      <c r="E221" s="91" t="s">
        <v>340</v>
      </c>
      <c r="F221" s="90" t="s">
        <v>16</v>
      </c>
      <c r="G221" s="90" t="s">
        <v>17</v>
      </c>
      <c r="H221" s="90" t="s">
        <v>150</v>
      </c>
      <c r="I221" s="92" t="s">
        <v>355</v>
      </c>
      <c r="J221" s="93">
        <v>45431</v>
      </c>
      <c r="K221" s="92" t="s">
        <v>122</v>
      </c>
      <c r="L221" s="92">
        <v>461000248</v>
      </c>
      <c r="M221" s="93">
        <v>45433</v>
      </c>
      <c r="N221" s="94">
        <v>45432.989583333336</v>
      </c>
      <c r="O221" s="94">
        <v>45432.989583333336</v>
      </c>
      <c r="P221" s="94">
        <v>45432.993055555555</v>
      </c>
      <c r="Q221" s="94">
        <v>45433.197916666664</v>
      </c>
      <c r="R221" s="114" t="s">
        <v>118</v>
      </c>
      <c r="S221" s="114" t="s">
        <v>118</v>
      </c>
      <c r="T221" s="114"/>
      <c r="U221" s="114"/>
      <c r="V221" s="95">
        <f t="shared" si="94"/>
        <v>0.20833333332848269</v>
      </c>
      <c r="W221" s="95">
        <v>0.20833333333333334</v>
      </c>
      <c r="X221" s="95" t="str">
        <f t="shared" si="95"/>
        <v>00:00</v>
      </c>
      <c r="Y221" s="96">
        <v>0</v>
      </c>
      <c r="Z221" s="96">
        <v>58</v>
      </c>
      <c r="AA221" s="96">
        <f t="shared" si="65"/>
        <v>58</v>
      </c>
      <c r="AB221" s="97">
        <f t="shared" si="66"/>
        <v>0</v>
      </c>
      <c r="AC221" s="97">
        <f t="shared" si="67"/>
        <v>4000.31</v>
      </c>
      <c r="AD221" s="98">
        <v>4000.31</v>
      </c>
      <c r="AE221" s="98">
        <v>4025.3</v>
      </c>
      <c r="AF221" s="98">
        <v>4035.6</v>
      </c>
      <c r="AG221" s="98">
        <f t="shared" si="68"/>
        <v>35.289999999999964</v>
      </c>
      <c r="AH221" s="99">
        <v>672.5</v>
      </c>
      <c r="AI221" s="100">
        <f t="shared" si="69"/>
        <v>2713941</v>
      </c>
      <c r="AJ221" s="100">
        <f t="shared" si="105"/>
        <v>0</v>
      </c>
      <c r="AK221" s="100">
        <v>0</v>
      </c>
      <c r="AL221" s="100">
        <v>24140</v>
      </c>
      <c r="AM221" s="100">
        <v>0</v>
      </c>
      <c r="AN221" s="100">
        <v>0</v>
      </c>
      <c r="AO221" s="100">
        <v>0</v>
      </c>
      <c r="AP221" s="100">
        <f t="shared" si="104"/>
        <v>136905</v>
      </c>
      <c r="AQ221" s="101">
        <f t="shared" si="96"/>
        <v>2874986</v>
      </c>
      <c r="AR221" s="101">
        <v>0</v>
      </c>
      <c r="AS221" s="101">
        <v>0</v>
      </c>
      <c r="AT221" s="102" t="s">
        <v>33</v>
      </c>
      <c r="AU221" s="109"/>
      <c r="AV221" s="100">
        <f>12.81-9.31</f>
        <v>3.5</v>
      </c>
      <c r="AW221" s="105"/>
      <c r="AX221" s="106">
        <f t="shared" si="97"/>
        <v>0.87446724155020239</v>
      </c>
      <c r="AY221" s="101">
        <f t="shared" si="98"/>
        <v>23733</v>
      </c>
      <c r="AZ221" s="107"/>
      <c r="BA221" s="94">
        <v>45432.989583333336</v>
      </c>
      <c r="BB221" s="94">
        <v>45432.993055555555</v>
      </c>
      <c r="BC221" s="94">
        <v>45433.03125</v>
      </c>
      <c r="BD221" s="94">
        <v>45433.154166666667</v>
      </c>
      <c r="BE221" s="95">
        <f t="shared" si="99"/>
        <v>0.16458333333139308</v>
      </c>
      <c r="BF221" s="95">
        <v>0</v>
      </c>
      <c r="BG221" s="95">
        <v>3.8194444444444448E-2</v>
      </c>
      <c r="BH221" s="95">
        <f t="shared" si="100"/>
        <v>3.4722222189884633E-3</v>
      </c>
      <c r="BI221" s="95">
        <f t="shared" si="100"/>
        <v>3.8194444445252884E-2</v>
      </c>
      <c r="BJ221" s="95">
        <f t="shared" si="100"/>
        <v>0.12291666666715173</v>
      </c>
      <c r="BK221" s="95">
        <f t="shared" si="101"/>
        <v>0.16111111111240461</v>
      </c>
      <c r="BL221" s="95">
        <f t="shared" si="102"/>
        <v>0.12291666666796017</v>
      </c>
      <c r="BM221" s="95" t="str">
        <f t="shared" si="103"/>
        <v>00:00</v>
      </c>
      <c r="BN221" s="110"/>
    </row>
    <row r="222" spans="1:66" s="8" customFormat="1" ht="12.75" customHeight="1" x14ac:dyDescent="0.25">
      <c r="A222" s="90">
        <v>184</v>
      </c>
      <c r="B222" s="90">
        <v>82</v>
      </c>
      <c r="C222" s="90">
        <v>8</v>
      </c>
      <c r="D222" s="90" t="s">
        <v>113</v>
      </c>
      <c r="E222" s="91" t="s">
        <v>319</v>
      </c>
      <c r="F222" s="90" t="s">
        <v>32</v>
      </c>
      <c r="G222" s="90" t="s">
        <v>8</v>
      </c>
      <c r="H222" s="90" t="s">
        <v>271</v>
      </c>
      <c r="I222" s="92" t="s">
        <v>356</v>
      </c>
      <c r="J222" s="93">
        <v>45426</v>
      </c>
      <c r="K222" s="92" t="s">
        <v>117</v>
      </c>
      <c r="L222" s="92">
        <v>262009685</v>
      </c>
      <c r="M222" s="93">
        <v>45433</v>
      </c>
      <c r="N222" s="94">
        <v>45433.246527777781</v>
      </c>
      <c r="O222" s="94">
        <v>45433.21875</v>
      </c>
      <c r="P222" s="94">
        <v>45433.25</v>
      </c>
      <c r="Q222" s="94">
        <v>45433.395833333336</v>
      </c>
      <c r="R222" s="114">
        <v>45433.246527777781</v>
      </c>
      <c r="S222" s="114" t="s">
        <v>118</v>
      </c>
      <c r="T222" s="114"/>
      <c r="U222" s="114"/>
      <c r="V222" s="95">
        <f t="shared" si="94"/>
        <v>0.17708333333575865</v>
      </c>
      <c r="W222" s="95">
        <v>0.20833333333333334</v>
      </c>
      <c r="X222" s="95" t="str">
        <f t="shared" si="95"/>
        <v>00:00</v>
      </c>
      <c r="Y222" s="96">
        <v>0</v>
      </c>
      <c r="Z222" s="96">
        <v>58</v>
      </c>
      <c r="AA222" s="96">
        <f t="shared" si="65"/>
        <v>58</v>
      </c>
      <c r="AB222" s="97">
        <f t="shared" si="66"/>
        <v>0</v>
      </c>
      <c r="AC222" s="97">
        <f t="shared" si="67"/>
        <v>3923.8</v>
      </c>
      <c r="AD222" s="98">
        <v>3923.8</v>
      </c>
      <c r="AE222" s="98">
        <v>4033.6</v>
      </c>
      <c r="AF222" s="98">
        <v>4033.8</v>
      </c>
      <c r="AG222" s="98">
        <f t="shared" si="68"/>
        <v>110</v>
      </c>
      <c r="AH222" s="99">
        <v>1484</v>
      </c>
      <c r="AI222" s="100">
        <f t="shared" si="69"/>
        <v>5986159.2000000002</v>
      </c>
      <c r="AJ222" s="100">
        <f t="shared" si="105"/>
        <v>0</v>
      </c>
      <c r="AK222" s="100">
        <v>0</v>
      </c>
      <c r="AL222" s="100">
        <v>26550</v>
      </c>
      <c r="AM222" s="100">
        <v>0</v>
      </c>
      <c r="AN222" s="100">
        <v>0</v>
      </c>
      <c r="AO222" s="100">
        <v>0</v>
      </c>
      <c r="AP222" s="100">
        <f t="shared" si="104"/>
        <v>300636</v>
      </c>
      <c r="AQ222" s="101">
        <f t="shared" si="96"/>
        <v>6313346</v>
      </c>
      <c r="AR222" s="101">
        <v>0</v>
      </c>
      <c r="AS222" s="101">
        <v>0</v>
      </c>
      <c r="AT222" s="102" t="s">
        <v>33</v>
      </c>
      <c r="AU222" s="109" t="s">
        <v>118</v>
      </c>
      <c r="AV222" s="100">
        <v>0</v>
      </c>
      <c r="AW222" s="105"/>
      <c r="AX222" s="106">
        <f t="shared" si="97"/>
        <v>2.7269572115622984</v>
      </c>
      <c r="AY222" s="101">
        <f t="shared" si="98"/>
        <v>163240</v>
      </c>
      <c r="AZ222" s="107"/>
      <c r="BA222" s="94">
        <v>45433.246527777781</v>
      </c>
      <c r="BB222" s="94">
        <v>45433.25</v>
      </c>
      <c r="BC222" s="94">
        <v>45433.25</v>
      </c>
      <c r="BD222" s="94">
        <v>45433.386805555558</v>
      </c>
      <c r="BE222" s="95">
        <f t="shared" si="99"/>
        <v>0.14027777777664596</v>
      </c>
      <c r="BF222" s="95">
        <v>0</v>
      </c>
      <c r="BG222" s="95">
        <v>3.125E-2</v>
      </c>
      <c r="BH222" s="95">
        <f t="shared" si="100"/>
        <v>3.4722222189884633E-3</v>
      </c>
      <c r="BI222" s="95">
        <f t="shared" si="100"/>
        <v>0</v>
      </c>
      <c r="BJ222" s="95">
        <f t="shared" si="100"/>
        <v>0.1368055555576575</v>
      </c>
      <c r="BK222" s="95">
        <f t="shared" si="101"/>
        <v>0.1368055555576575</v>
      </c>
      <c r="BL222" s="95">
        <f t="shared" si="102"/>
        <v>0.1055555555576575</v>
      </c>
      <c r="BM222" s="95" t="str">
        <f t="shared" si="103"/>
        <v>00:00</v>
      </c>
      <c r="BN222" s="110"/>
    </row>
    <row r="223" spans="1:66" s="8" customFormat="1" ht="12.75" customHeight="1" x14ac:dyDescent="0.25">
      <c r="A223" s="90">
        <v>185</v>
      </c>
      <c r="B223" s="90">
        <v>83</v>
      </c>
      <c r="C223" s="90">
        <v>9</v>
      </c>
      <c r="D223" s="90" t="s">
        <v>113</v>
      </c>
      <c r="E223" s="91" t="s">
        <v>319</v>
      </c>
      <c r="F223" s="90" t="s">
        <v>32</v>
      </c>
      <c r="G223" s="90" t="s">
        <v>8</v>
      </c>
      <c r="H223" s="90" t="s">
        <v>127</v>
      </c>
      <c r="I223" s="92" t="s">
        <v>357</v>
      </c>
      <c r="J223" s="93">
        <v>45426</v>
      </c>
      <c r="K223" s="92" t="s">
        <v>122</v>
      </c>
      <c r="L223" s="92">
        <v>262009689</v>
      </c>
      <c r="M223" s="93">
        <v>45434</v>
      </c>
      <c r="N223" s="94">
        <v>45433.447916666664</v>
      </c>
      <c r="O223" s="94">
        <v>45433.4375</v>
      </c>
      <c r="P223" s="94">
        <v>45433.451388888891</v>
      </c>
      <c r="Q223" s="94">
        <v>45433.625</v>
      </c>
      <c r="R223" s="114">
        <v>45433.447916666664</v>
      </c>
      <c r="S223" s="114" t="s">
        <v>118</v>
      </c>
      <c r="T223" s="114"/>
      <c r="U223" s="114"/>
      <c r="V223" s="95">
        <f t="shared" si="94"/>
        <v>0.1875</v>
      </c>
      <c r="W223" s="95">
        <v>0.20833333333333334</v>
      </c>
      <c r="X223" s="95" t="str">
        <f t="shared" si="95"/>
        <v>00:00</v>
      </c>
      <c r="Y223" s="96">
        <v>0</v>
      </c>
      <c r="Z223" s="96">
        <v>58</v>
      </c>
      <c r="AA223" s="96">
        <f t="shared" ref="AA223:AA282" si="106">+Y223+Z223</f>
        <v>58</v>
      </c>
      <c r="AB223" s="97">
        <f t="shared" ref="AB223:AB282" si="107">+AD223/AA223*Y223</f>
        <v>0</v>
      </c>
      <c r="AC223" s="97">
        <f t="shared" ref="AC223:AC282" si="108">+AD223/AA223*Z223</f>
        <v>3850.24</v>
      </c>
      <c r="AD223" s="98">
        <v>3850.24</v>
      </c>
      <c r="AE223" s="98">
        <v>4035.4</v>
      </c>
      <c r="AF223" s="98">
        <v>4035.4</v>
      </c>
      <c r="AG223" s="98">
        <f t="shared" ref="AG223:AG282" si="109">+AF223-AD223</f>
        <v>185.16000000000031</v>
      </c>
      <c r="AH223" s="99">
        <v>1484</v>
      </c>
      <c r="AI223" s="100">
        <f t="shared" ref="AI223:AI282" si="110">+AF223*AH223</f>
        <v>5988533.6000000006</v>
      </c>
      <c r="AJ223" s="100">
        <f t="shared" si="105"/>
        <v>0</v>
      </c>
      <c r="AK223" s="100">
        <v>0</v>
      </c>
      <c r="AL223" s="100">
        <v>0</v>
      </c>
      <c r="AM223" s="100">
        <v>0</v>
      </c>
      <c r="AN223" s="100">
        <v>0</v>
      </c>
      <c r="AO223" s="100">
        <v>0</v>
      </c>
      <c r="AP223" s="100">
        <f t="shared" si="104"/>
        <v>299427</v>
      </c>
      <c r="AQ223" s="101">
        <f t="shared" si="96"/>
        <v>6287961</v>
      </c>
      <c r="AR223" s="101">
        <v>0</v>
      </c>
      <c r="AS223" s="101">
        <v>0</v>
      </c>
      <c r="AT223" s="102" t="s">
        <v>33</v>
      </c>
      <c r="AU223" s="109" t="s">
        <v>118</v>
      </c>
      <c r="AV223" s="100">
        <v>0</v>
      </c>
      <c r="AW223" s="105"/>
      <c r="AX223" s="106">
        <f t="shared" si="97"/>
        <v>4.5883927243891636</v>
      </c>
      <c r="AY223" s="101">
        <f t="shared" si="98"/>
        <v>274778</v>
      </c>
      <c r="AZ223" s="107"/>
      <c r="BA223" s="94">
        <v>45433.447916666664</v>
      </c>
      <c r="BB223" s="94">
        <v>45433.451388888891</v>
      </c>
      <c r="BC223" s="94">
        <v>45433.461805555555</v>
      </c>
      <c r="BD223" s="94">
        <v>45433.611111111109</v>
      </c>
      <c r="BE223" s="95">
        <f t="shared" si="99"/>
        <v>0.16319444444525288</v>
      </c>
      <c r="BF223" s="95">
        <v>3.125E-2</v>
      </c>
      <c r="BG223" s="95">
        <v>6.9444444444444441E-3</v>
      </c>
      <c r="BH223" s="95">
        <f t="shared" si="100"/>
        <v>3.4722222262644209E-3</v>
      </c>
      <c r="BI223" s="95">
        <f t="shared" si="100"/>
        <v>1.0416666664241347E-2</v>
      </c>
      <c r="BJ223" s="95">
        <f t="shared" si="100"/>
        <v>0.14930555555474712</v>
      </c>
      <c r="BK223" s="95">
        <f t="shared" si="101"/>
        <v>0.15972222221898846</v>
      </c>
      <c r="BL223" s="95">
        <f t="shared" si="102"/>
        <v>0.12152777777454402</v>
      </c>
      <c r="BM223" s="95" t="str">
        <f t="shared" si="103"/>
        <v>00:00</v>
      </c>
      <c r="BN223" s="110"/>
    </row>
    <row r="224" spans="1:66" s="8" customFormat="1" ht="12.75" customHeight="1" x14ac:dyDescent="0.25">
      <c r="A224" s="148">
        <v>186</v>
      </c>
      <c r="B224" s="115">
        <v>84</v>
      </c>
      <c r="C224" s="90">
        <v>10</v>
      </c>
      <c r="D224" s="115" t="s">
        <v>113</v>
      </c>
      <c r="E224" s="91" t="s">
        <v>140</v>
      </c>
      <c r="F224" s="90" t="s">
        <v>25</v>
      </c>
      <c r="G224" s="90" t="s">
        <v>12</v>
      </c>
      <c r="H224" s="115" t="s">
        <v>115</v>
      </c>
      <c r="I224" s="90" t="s">
        <v>358</v>
      </c>
      <c r="J224" s="93">
        <v>45433</v>
      </c>
      <c r="K224" s="116" t="s">
        <v>117</v>
      </c>
      <c r="L224" s="92">
        <v>282000925</v>
      </c>
      <c r="M224" s="93">
        <v>45434</v>
      </c>
      <c r="N224" s="118">
        <v>45433.604166666664</v>
      </c>
      <c r="O224" s="118">
        <v>45433.604166666664</v>
      </c>
      <c r="P224" s="118">
        <v>45433.611111111109</v>
      </c>
      <c r="Q224" s="118">
        <v>45433.8125</v>
      </c>
      <c r="R224" s="114" t="s">
        <v>118</v>
      </c>
      <c r="S224" s="114">
        <v>45433.888888888891</v>
      </c>
      <c r="T224" s="114"/>
      <c r="U224" s="114"/>
      <c r="V224" s="95">
        <f t="shared" si="94"/>
        <v>0.20833333333575865</v>
      </c>
      <c r="W224" s="95">
        <v>0.20833333333333334</v>
      </c>
      <c r="X224" s="95">
        <f t="shared" si="95"/>
        <v>2.4253099528692701E-12</v>
      </c>
      <c r="Y224" s="96">
        <v>0</v>
      </c>
      <c r="Z224" s="96">
        <v>25</v>
      </c>
      <c r="AA224" s="96">
        <f t="shared" si="106"/>
        <v>25</v>
      </c>
      <c r="AB224" s="97">
        <f t="shared" si="107"/>
        <v>0</v>
      </c>
      <c r="AC224" s="97">
        <f t="shared" si="108"/>
        <v>1698.9999999999998</v>
      </c>
      <c r="AD224" s="98">
        <v>1699</v>
      </c>
      <c r="AE224" s="98">
        <v>1738.8</v>
      </c>
      <c r="AF224" s="98">
        <v>1738.8</v>
      </c>
      <c r="AG224" s="98">
        <f t="shared" si="109"/>
        <v>39.799999999999955</v>
      </c>
      <c r="AH224" s="99">
        <v>1586.7</v>
      </c>
      <c r="AI224" s="100">
        <f t="shared" si="110"/>
        <v>2758953.96</v>
      </c>
      <c r="AJ224" s="100">
        <f t="shared" si="105"/>
        <v>0</v>
      </c>
      <c r="AK224" s="100">
        <v>0</v>
      </c>
      <c r="AL224" s="100">
        <v>0</v>
      </c>
      <c r="AM224" s="100">
        <v>0</v>
      </c>
      <c r="AN224" s="100">
        <v>0</v>
      </c>
      <c r="AO224" s="100">
        <f>IFERROR(AF224*20+(((AJ224/AH224)/2)*20),0)</f>
        <v>34776</v>
      </c>
      <c r="AP224" s="100">
        <f t="shared" si="104"/>
        <v>139687</v>
      </c>
      <c r="AQ224" s="101">
        <f t="shared" si="96"/>
        <v>2933417</v>
      </c>
      <c r="AR224" s="101">
        <v>0</v>
      </c>
      <c r="AS224" s="101">
        <v>0</v>
      </c>
      <c r="AT224" s="102" t="s">
        <v>33</v>
      </c>
      <c r="AU224" s="109" t="s">
        <v>118</v>
      </c>
      <c r="AV224" s="100">
        <v>0</v>
      </c>
      <c r="AW224" s="105"/>
      <c r="AX224" s="140">
        <f>IFERROR(((AG224+AG225)/(AF224+AF225))*100, "")</f>
        <v>2.1431363925133229</v>
      </c>
      <c r="AY224" s="141">
        <f>ROUNDUP((AG224+AG225)*AH224,0)</f>
        <v>139170</v>
      </c>
      <c r="AZ224" s="142"/>
      <c r="BA224" s="118">
        <v>45433.604166666664</v>
      </c>
      <c r="BB224" s="118">
        <v>45433.611111111109</v>
      </c>
      <c r="BC224" s="118">
        <v>45433.680555555555</v>
      </c>
      <c r="BD224" s="118">
        <v>45433.89166666667</v>
      </c>
      <c r="BE224" s="119">
        <f t="shared" si="99"/>
        <v>0.28750000000582077</v>
      </c>
      <c r="BF224" s="119">
        <v>4.8611111111111112E-2</v>
      </c>
      <c r="BG224" s="119">
        <v>8.8888888888888892E-2</v>
      </c>
      <c r="BH224" s="119">
        <f t="shared" si="100"/>
        <v>6.9444444452528842E-3</v>
      </c>
      <c r="BI224" s="119">
        <f t="shared" si="100"/>
        <v>6.9444444445252884E-2</v>
      </c>
      <c r="BJ224" s="119">
        <f t="shared" si="100"/>
        <v>0.211111111115315</v>
      </c>
      <c r="BK224" s="119">
        <f t="shared" si="101"/>
        <v>0.28055555556056788</v>
      </c>
      <c r="BL224" s="119">
        <f t="shared" si="102"/>
        <v>0.14305555556056787</v>
      </c>
      <c r="BM224" s="119">
        <f t="shared" si="103"/>
        <v>7.9166666672487424E-2</v>
      </c>
      <c r="BN224" s="110" t="s">
        <v>359</v>
      </c>
    </row>
    <row r="225" spans="1:66" s="8" customFormat="1" ht="12.75" customHeight="1" x14ac:dyDescent="0.25">
      <c r="A225" s="148">
        <v>187</v>
      </c>
      <c r="B225" s="122"/>
      <c r="C225" s="90">
        <v>13</v>
      </c>
      <c r="D225" s="122"/>
      <c r="E225" s="91" t="s">
        <v>173</v>
      </c>
      <c r="F225" s="90" t="s">
        <v>27</v>
      </c>
      <c r="G225" s="148" t="s">
        <v>12</v>
      </c>
      <c r="H225" s="122"/>
      <c r="I225" s="90" t="s">
        <v>360</v>
      </c>
      <c r="J225" s="93">
        <v>45433</v>
      </c>
      <c r="K225" s="123"/>
      <c r="L225" s="92">
        <v>282000924</v>
      </c>
      <c r="M225" s="93">
        <v>45434</v>
      </c>
      <c r="N225" s="125"/>
      <c r="O225" s="125"/>
      <c r="P225" s="125"/>
      <c r="Q225" s="125"/>
      <c r="R225" s="114" t="s">
        <v>118</v>
      </c>
      <c r="S225" s="114">
        <v>45433.888888888891</v>
      </c>
      <c r="T225" s="114"/>
      <c r="U225" s="114"/>
      <c r="V225" s="95">
        <f t="shared" si="94"/>
        <v>0</v>
      </c>
      <c r="W225" s="95">
        <v>0.20833333333333334</v>
      </c>
      <c r="X225" s="95" t="str">
        <f t="shared" si="95"/>
        <v>00:00</v>
      </c>
      <c r="Y225" s="96">
        <v>0</v>
      </c>
      <c r="Z225" s="96">
        <v>34</v>
      </c>
      <c r="AA225" s="96">
        <f t="shared" si="106"/>
        <v>34</v>
      </c>
      <c r="AB225" s="97">
        <f t="shared" si="107"/>
        <v>0</v>
      </c>
      <c r="AC225" s="97">
        <f t="shared" si="108"/>
        <v>2305.89</v>
      </c>
      <c r="AD225" s="98">
        <v>2305.89</v>
      </c>
      <c r="AE225" s="98">
        <v>2353.6999999999998</v>
      </c>
      <c r="AF225" s="98">
        <v>2353.8000000000002</v>
      </c>
      <c r="AG225" s="98">
        <f t="shared" si="109"/>
        <v>47.910000000000309</v>
      </c>
      <c r="AH225" s="99">
        <v>1586.7</v>
      </c>
      <c r="AI225" s="100">
        <f t="shared" si="110"/>
        <v>3734774.4600000004</v>
      </c>
      <c r="AJ225" s="100">
        <f t="shared" si="105"/>
        <v>0</v>
      </c>
      <c r="AK225" s="100">
        <v>0</v>
      </c>
      <c r="AL225" s="100">
        <v>0</v>
      </c>
      <c r="AM225" s="100">
        <v>0</v>
      </c>
      <c r="AN225" s="100">
        <v>0</v>
      </c>
      <c r="AO225" s="100">
        <f>IFERROR(AF225*20+(((AJ225/AH225)/2)*20),0)</f>
        <v>47076</v>
      </c>
      <c r="AP225" s="100">
        <f t="shared" si="104"/>
        <v>189093</v>
      </c>
      <c r="AQ225" s="101">
        <f t="shared" si="96"/>
        <v>3970944</v>
      </c>
      <c r="AR225" s="101">
        <v>0</v>
      </c>
      <c r="AS225" s="101">
        <v>0</v>
      </c>
      <c r="AT225" s="102" t="s">
        <v>33</v>
      </c>
      <c r="AU225" s="109" t="s">
        <v>118</v>
      </c>
      <c r="AV225" s="100">
        <v>0</v>
      </c>
      <c r="AW225" s="105"/>
      <c r="AX225" s="144"/>
      <c r="AY225" s="145"/>
      <c r="AZ225" s="146"/>
      <c r="BA225" s="125"/>
      <c r="BB225" s="125"/>
      <c r="BC225" s="125"/>
      <c r="BD225" s="125"/>
      <c r="BE225" s="126"/>
      <c r="BF225" s="126"/>
      <c r="BG225" s="126"/>
      <c r="BH225" s="126"/>
      <c r="BI225" s="126"/>
      <c r="BJ225" s="126"/>
      <c r="BK225" s="126"/>
      <c r="BL225" s="126"/>
      <c r="BM225" s="126"/>
      <c r="BN225" s="110" t="s">
        <v>361</v>
      </c>
    </row>
    <row r="226" spans="1:66" s="8" customFormat="1" ht="12.75" customHeight="1" x14ac:dyDescent="0.25">
      <c r="A226" s="90">
        <v>188</v>
      </c>
      <c r="B226" s="90">
        <v>85</v>
      </c>
      <c r="C226" s="90">
        <v>5</v>
      </c>
      <c r="D226" s="90" t="s">
        <v>113</v>
      </c>
      <c r="E226" s="91" t="s">
        <v>299</v>
      </c>
      <c r="F226" s="90" t="s">
        <v>7</v>
      </c>
      <c r="G226" s="90" t="s">
        <v>8</v>
      </c>
      <c r="H226" s="90" t="s">
        <v>300</v>
      </c>
      <c r="I226" s="92" t="s">
        <v>362</v>
      </c>
      <c r="J226" s="93">
        <v>45426</v>
      </c>
      <c r="K226" s="92" t="s">
        <v>122</v>
      </c>
      <c r="L226" s="92">
        <v>282000926</v>
      </c>
      <c r="M226" s="93">
        <v>45434</v>
      </c>
      <c r="N226" s="94">
        <v>45433.822916666664</v>
      </c>
      <c r="O226" s="94">
        <v>45433.822916666664</v>
      </c>
      <c r="P226" s="94">
        <v>45433.829861111109</v>
      </c>
      <c r="Q226" s="94">
        <v>45433.996527777781</v>
      </c>
      <c r="R226" s="114" t="s">
        <v>118</v>
      </c>
      <c r="S226" s="114">
        <v>45434.072916666664</v>
      </c>
      <c r="T226" s="114"/>
      <c r="U226" s="114"/>
      <c r="V226" s="95">
        <f t="shared" si="94"/>
        <v>0.17361111111677019</v>
      </c>
      <c r="W226" s="95">
        <v>0.20833333333333334</v>
      </c>
      <c r="X226" s="95" t="str">
        <f t="shared" si="95"/>
        <v>00:00</v>
      </c>
      <c r="Y226" s="96">
        <v>0</v>
      </c>
      <c r="Z226" s="96">
        <v>59</v>
      </c>
      <c r="AA226" s="96">
        <f t="shared" si="106"/>
        <v>59</v>
      </c>
      <c r="AB226" s="97">
        <f t="shared" si="107"/>
        <v>0</v>
      </c>
      <c r="AC226" s="97">
        <f t="shared" si="108"/>
        <v>3952.3300000000004</v>
      </c>
      <c r="AD226" s="98">
        <v>3952.33</v>
      </c>
      <c r="AE226" s="98">
        <v>4097</v>
      </c>
      <c r="AF226" s="98">
        <v>4098</v>
      </c>
      <c r="AG226" s="98">
        <f t="shared" si="109"/>
        <v>145.67000000000007</v>
      </c>
      <c r="AH226" s="99">
        <v>1484</v>
      </c>
      <c r="AI226" s="100">
        <f t="shared" si="110"/>
        <v>6081432</v>
      </c>
      <c r="AJ226" s="100">
        <f t="shared" si="105"/>
        <v>0</v>
      </c>
      <c r="AK226" s="100">
        <v>0</v>
      </c>
      <c r="AL226" s="100">
        <v>0</v>
      </c>
      <c r="AM226" s="100">
        <v>0</v>
      </c>
      <c r="AN226" s="100">
        <v>0</v>
      </c>
      <c r="AO226" s="100">
        <v>0</v>
      </c>
      <c r="AP226" s="100">
        <f t="shared" si="104"/>
        <v>304072</v>
      </c>
      <c r="AQ226" s="101">
        <f t="shared" si="96"/>
        <v>6385504</v>
      </c>
      <c r="AR226" s="101">
        <v>0</v>
      </c>
      <c r="AS226" s="101">
        <v>0</v>
      </c>
      <c r="AT226" s="102" t="s">
        <v>34</v>
      </c>
      <c r="AU226" s="109" t="s">
        <v>118</v>
      </c>
      <c r="AV226" s="100">
        <v>0</v>
      </c>
      <c r="AW226" s="105"/>
      <c r="AX226" s="106">
        <f t="shared" ref="AX226:AX241" si="111">IFERROR((AG226/AF226)*100, "")</f>
        <v>3.5546608101512951</v>
      </c>
      <c r="AY226" s="101">
        <f t="shared" ref="AY226:AY241" si="112">ROUNDUP(AG226*AH226,0)</f>
        <v>216175</v>
      </c>
      <c r="AZ226" s="107"/>
      <c r="BA226" s="94">
        <v>45433.822916666664</v>
      </c>
      <c r="BB226" s="94">
        <v>45433.829861111109</v>
      </c>
      <c r="BC226" s="94">
        <v>45433.923611111109</v>
      </c>
      <c r="BD226" s="94">
        <v>45434.072916666664</v>
      </c>
      <c r="BE226" s="95">
        <f t="shared" ref="BE226:BE242" si="113">+BD226-BA226</f>
        <v>0.25</v>
      </c>
      <c r="BF226" s="95">
        <v>0</v>
      </c>
      <c r="BG226" s="95">
        <v>9.7916666666666666E-2</v>
      </c>
      <c r="BH226" s="95">
        <f t="shared" ref="BH226:BJ242" si="114">+BB226-BA226</f>
        <v>6.9444444452528842E-3</v>
      </c>
      <c r="BI226" s="95">
        <f t="shared" si="114"/>
        <v>9.375E-2</v>
      </c>
      <c r="BJ226" s="95">
        <f t="shared" si="114"/>
        <v>0.14930555555474712</v>
      </c>
      <c r="BK226" s="95">
        <f t="shared" ref="BK226:BK242" si="115">+BI226+BJ226</f>
        <v>0.24305555555474712</v>
      </c>
      <c r="BL226" s="95">
        <f t="shared" ref="BL226:BL242" si="116">+BE226-BH226-BF226-BG226</f>
        <v>0.14513888888808046</v>
      </c>
      <c r="BM226" s="95">
        <f t="shared" ref="BM226:BM242" si="117">IF(VALUE(BE226)&lt;=VALUE("05:00"),"00:00",VALUE(BE226)-VALUE("05:00"))</f>
        <v>4.1666666666666657E-2</v>
      </c>
      <c r="BN226" s="110"/>
    </row>
    <row r="227" spans="1:66" s="8" customFormat="1" ht="12.75" customHeight="1" x14ac:dyDescent="0.25">
      <c r="A227" s="90">
        <v>189</v>
      </c>
      <c r="B227" s="90">
        <v>86</v>
      </c>
      <c r="C227" s="90">
        <v>10</v>
      </c>
      <c r="D227" s="90" t="s">
        <v>113</v>
      </c>
      <c r="E227" s="91" t="s">
        <v>319</v>
      </c>
      <c r="F227" s="90" t="s">
        <v>32</v>
      </c>
      <c r="G227" s="90" t="s">
        <v>8</v>
      </c>
      <c r="H227" s="90" t="s">
        <v>201</v>
      </c>
      <c r="I227" s="92" t="s">
        <v>363</v>
      </c>
      <c r="J227" s="93">
        <v>45432</v>
      </c>
      <c r="K227" s="92" t="s">
        <v>117</v>
      </c>
      <c r="L227" s="92">
        <v>242000711</v>
      </c>
      <c r="M227" s="93">
        <v>45434</v>
      </c>
      <c r="N227" s="94">
        <v>45434.052083333336</v>
      </c>
      <c r="O227" s="94">
        <v>45434.052083333336</v>
      </c>
      <c r="P227" s="94">
        <v>45434.055555555555</v>
      </c>
      <c r="Q227" s="94">
        <v>45434.260416666664</v>
      </c>
      <c r="R227" s="114" t="s">
        <v>118</v>
      </c>
      <c r="S227" s="114" t="s">
        <v>118</v>
      </c>
      <c r="T227" s="114"/>
      <c r="U227" s="114"/>
      <c r="V227" s="95">
        <f t="shared" si="94"/>
        <v>0.20833333332848269</v>
      </c>
      <c r="W227" s="95">
        <v>0.20833333333333334</v>
      </c>
      <c r="X227" s="95" t="str">
        <f t="shared" si="95"/>
        <v>00:00</v>
      </c>
      <c r="Y227" s="96">
        <v>0</v>
      </c>
      <c r="Z227" s="96">
        <v>59</v>
      </c>
      <c r="AA227" s="96">
        <f t="shared" si="106"/>
        <v>59</v>
      </c>
      <c r="AB227" s="97">
        <f t="shared" si="107"/>
        <v>0</v>
      </c>
      <c r="AC227" s="97">
        <f t="shared" si="108"/>
        <v>3911.9</v>
      </c>
      <c r="AD227" s="98">
        <v>3911.9</v>
      </c>
      <c r="AE227" s="98">
        <v>4098.7</v>
      </c>
      <c r="AF227" s="98">
        <v>4098.8</v>
      </c>
      <c r="AG227" s="98">
        <f t="shared" si="109"/>
        <v>186.90000000000009</v>
      </c>
      <c r="AH227" s="99">
        <v>2230.6999999999998</v>
      </c>
      <c r="AI227" s="100">
        <f t="shared" si="110"/>
        <v>9143193.1600000001</v>
      </c>
      <c r="AJ227" s="100">
        <f t="shared" si="105"/>
        <v>0</v>
      </c>
      <c r="AK227" s="100">
        <v>0</v>
      </c>
      <c r="AL227" s="100">
        <v>0</v>
      </c>
      <c r="AM227" s="100">
        <v>0</v>
      </c>
      <c r="AN227" s="100">
        <v>0</v>
      </c>
      <c r="AO227" s="100">
        <v>0</v>
      </c>
      <c r="AP227" s="100">
        <f t="shared" si="104"/>
        <v>457160</v>
      </c>
      <c r="AQ227" s="101">
        <f t="shared" si="96"/>
        <v>9600354</v>
      </c>
      <c r="AR227" s="101">
        <v>0</v>
      </c>
      <c r="AS227" s="101">
        <v>0</v>
      </c>
      <c r="AT227" s="102" t="s">
        <v>33</v>
      </c>
      <c r="AU227" s="109" t="s">
        <v>118</v>
      </c>
      <c r="AV227" s="100">
        <v>0</v>
      </c>
      <c r="AW227" s="105"/>
      <c r="AX227" s="106">
        <f t="shared" si="111"/>
        <v>4.5598711818093118</v>
      </c>
      <c r="AY227" s="101">
        <f t="shared" si="112"/>
        <v>416918</v>
      </c>
      <c r="AZ227" s="107"/>
      <c r="BA227" s="94">
        <v>45434.052083333336</v>
      </c>
      <c r="BB227" s="94">
        <v>45434.055555555555</v>
      </c>
      <c r="BC227" s="94">
        <v>45434.090277777781</v>
      </c>
      <c r="BD227" s="94">
        <v>45434.232638888891</v>
      </c>
      <c r="BE227" s="95">
        <f t="shared" si="113"/>
        <v>0.18055555555474712</v>
      </c>
      <c r="BF227" s="95">
        <v>6.9444444444444441E-3</v>
      </c>
      <c r="BG227" s="95">
        <v>2.7777777777777776E-2</v>
      </c>
      <c r="BH227" s="95">
        <f t="shared" si="114"/>
        <v>3.4722222189884633E-3</v>
      </c>
      <c r="BI227" s="95">
        <f t="shared" si="114"/>
        <v>3.4722222226264421E-2</v>
      </c>
      <c r="BJ227" s="95">
        <f t="shared" si="114"/>
        <v>0.14236111110949423</v>
      </c>
      <c r="BK227" s="95">
        <f t="shared" si="115"/>
        <v>0.17708333333575865</v>
      </c>
      <c r="BL227" s="95">
        <f t="shared" si="116"/>
        <v>0.14236111111353644</v>
      </c>
      <c r="BM227" s="95" t="str">
        <f t="shared" si="117"/>
        <v>00:00</v>
      </c>
      <c r="BN227" s="110"/>
    </row>
    <row r="228" spans="1:66" s="8" customFormat="1" ht="12.75" customHeight="1" x14ac:dyDescent="0.25">
      <c r="A228" s="90">
        <v>190</v>
      </c>
      <c r="B228" s="90">
        <v>87</v>
      </c>
      <c r="C228" s="90">
        <v>8</v>
      </c>
      <c r="D228" s="90" t="s">
        <v>148</v>
      </c>
      <c r="E228" s="91" t="s">
        <v>340</v>
      </c>
      <c r="F228" s="90" t="s">
        <v>16</v>
      </c>
      <c r="G228" s="90" t="s">
        <v>17</v>
      </c>
      <c r="H228" s="90" t="s">
        <v>150</v>
      </c>
      <c r="I228" s="92" t="s">
        <v>364</v>
      </c>
      <c r="J228" s="93">
        <v>45432</v>
      </c>
      <c r="K228" s="92" t="s">
        <v>122</v>
      </c>
      <c r="L228" s="92">
        <v>461000249</v>
      </c>
      <c r="M228" s="93">
        <v>45434</v>
      </c>
      <c r="N228" s="94">
        <v>45434.375</v>
      </c>
      <c r="O228" s="94">
        <v>45434.375</v>
      </c>
      <c r="P228" s="94">
        <v>45434.395833333336</v>
      </c>
      <c r="Q228" s="94">
        <v>45434.583333333336</v>
      </c>
      <c r="R228" s="114" t="s">
        <v>118</v>
      </c>
      <c r="S228" s="114" t="s">
        <v>118</v>
      </c>
      <c r="T228" s="114"/>
      <c r="U228" s="114"/>
      <c r="V228" s="95">
        <f t="shared" si="94"/>
        <v>0.20833333333575865</v>
      </c>
      <c r="W228" s="95">
        <v>0.20833333333333334</v>
      </c>
      <c r="X228" s="95">
        <f t="shared" si="95"/>
        <v>2.4253099528692701E-12</v>
      </c>
      <c r="Y228" s="96">
        <v>0</v>
      </c>
      <c r="Z228" s="96">
        <v>58</v>
      </c>
      <c r="AA228" s="96">
        <f t="shared" si="106"/>
        <v>58</v>
      </c>
      <c r="AB228" s="97">
        <f t="shared" si="107"/>
        <v>0</v>
      </c>
      <c r="AC228" s="97">
        <f t="shared" si="108"/>
        <v>3927.2500000000005</v>
      </c>
      <c r="AD228" s="98">
        <v>3927.25</v>
      </c>
      <c r="AE228" s="98">
        <v>4035</v>
      </c>
      <c r="AF228" s="98">
        <v>4035</v>
      </c>
      <c r="AG228" s="98">
        <f t="shared" si="109"/>
        <v>107.75</v>
      </c>
      <c r="AH228" s="99">
        <v>672.5</v>
      </c>
      <c r="AI228" s="100">
        <f t="shared" si="110"/>
        <v>2713537.5</v>
      </c>
      <c r="AJ228" s="100">
        <f t="shared" si="105"/>
        <v>0</v>
      </c>
      <c r="AK228" s="100">
        <v>0</v>
      </c>
      <c r="AL228" s="100">
        <v>0</v>
      </c>
      <c r="AM228" s="100">
        <v>0</v>
      </c>
      <c r="AN228" s="100">
        <v>0</v>
      </c>
      <c r="AO228" s="100">
        <v>0</v>
      </c>
      <c r="AP228" s="100">
        <f t="shared" si="104"/>
        <v>135677</v>
      </c>
      <c r="AQ228" s="101">
        <f t="shared" si="96"/>
        <v>2849215</v>
      </c>
      <c r="AR228" s="101">
        <v>0</v>
      </c>
      <c r="AS228" s="101">
        <v>0</v>
      </c>
      <c r="AT228" s="102" t="s">
        <v>34</v>
      </c>
      <c r="AU228" s="109" t="s">
        <v>118</v>
      </c>
      <c r="AV228" s="100">
        <v>0</v>
      </c>
      <c r="AW228" s="105"/>
      <c r="AX228" s="106">
        <f t="shared" si="111"/>
        <v>2.6703841387856255</v>
      </c>
      <c r="AY228" s="101">
        <f t="shared" si="112"/>
        <v>72462</v>
      </c>
      <c r="AZ228" s="107"/>
      <c r="BA228" s="94">
        <v>45434.375</v>
      </c>
      <c r="BB228" s="94">
        <v>45434.395833333336</v>
      </c>
      <c r="BC228" s="94">
        <v>45434.400000000001</v>
      </c>
      <c r="BD228" s="94">
        <v>45434.538194444445</v>
      </c>
      <c r="BE228" s="95">
        <f t="shared" si="113"/>
        <v>0.16319444444525288</v>
      </c>
      <c r="BF228" s="95">
        <v>6.2500000000000003E-3</v>
      </c>
      <c r="BG228" s="95">
        <v>1.1111111111111112E-2</v>
      </c>
      <c r="BH228" s="95">
        <f t="shared" si="114"/>
        <v>2.0833333335758653E-2</v>
      </c>
      <c r="BI228" s="95">
        <f t="shared" si="114"/>
        <v>4.166666665696539E-3</v>
      </c>
      <c r="BJ228" s="95">
        <f t="shared" si="114"/>
        <v>0.13819444444379769</v>
      </c>
      <c r="BK228" s="95">
        <f t="shared" si="115"/>
        <v>0.14236111110949423</v>
      </c>
      <c r="BL228" s="95">
        <f t="shared" si="116"/>
        <v>0.12499999999838311</v>
      </c>
      <c r="BM228" s="95" t="str">
        <f t="shared" si="117"/>
        <v>00:00</v>
      </c>
      <c r="BN228" s="110"/>
    </row>
    <row r="229" spans="1:66" s="8" customFormat="1" ht="12.75" customHeight="1" x14ac:dyDescent="0.25">
      <c r="A229" s="90">
        <v>191</v>
      </c>
      <c r="B229" s="90">
        <v>88</v>
      </c>
      <c r="C229" s="90">
        <v>11</v>
      </c>
      <c r="D229" s="90" t="s">
        <v>113</v>
      </c>
      <c r="E229" s="91" t="s">
        <v>319</v>
      </c>
      <c r="F229" s="90" t="s">
        <v>32</v>
      </c>
      <c r="G229" s="90" t="s">
        <v>8</v>
      </c>
      <c r="H229" s="90" t="s">
        <v>271</v>
      </c>
      <c r="I229" s="92" t="s">
        <v>365</v>
      </c>
      <c r="J229" s="93">
        <v>45433</v>
      </c>
      <c r="K229" s="92" t="s">
        <v>117</v>
      </c>
      <c r="L229" s="92">
        <v>262009691</v>
      </c>
      <c r="M229" s="93">
        <v>45434</v>
      </c>
      <c r="N229" s="94">
        <v>45434.46875</v>
      </c>
      <c r="O229" s="94">
        <v>45434.46875</v>
      </c>
      <c r="P229" s="94">
        <v>45434.472222222219</v>
      </c>
      <c r="Q229" s="94">
        <v>45434.677083333336</v>
      </c>
      <c r="R229" s="114" t="s">
        <v>118</v>
      </c>
      <c r="S229" s="114" t="s">
        <v>118</v>
      </c>
      <c r="T229" s="114"/>
      <c r="U229" s="114"/>
      <c r="V229" s="95">
        <f t="shared" si="94"/>
        <v>0.20833333333575865</v>
      </c>
      <c r="W229" s="95">
        <v>0.20833333333333334</v>
      </c>
      <c r="X229" s="95">
        <f t="shared" si="95"/>
        <v>2.4253099528692701E-12</v>
      </c>
      <c r="Y229" s="96">
        <v>0</v>
      </c>
      <c r="Z229" s="96">
        <v>58</v>
      </c>
      <c r="AA229" s="96">
        <f t="shared" si="106"/>
        <v>58</v>
      </c>
      <c r="AB229" s="97">
        <f t="shared" si="107"/>
        <v>0</v>
      </c>
      <c r="AC229" s="97">
        <f t="shared" si="108"/>
        <v>3852.4899999999993</v>
      </c>
      <c r="AD229" s="98">
        <v>3852.49</v>
      </c>
      <c r="AE229" s="98">
        <v>4041.2</v>
      </c>
      <c r="AF229" s="98">
        <v>4041.2</v>
      </c>
      <c r="AG229" s="98">
        <f t="shared" si="109"/>
        <v>188.71000000000004</v>
      </c>
      <c r="AH229" s="99">
        <v>1484</v>
      </c>
      <c r="AI229" s="100">
        <f t="shared" si="110"/>
        <v>5997140.7999999998</v>
      </c>
      <c r="AJ229" s="100">
        <f t="shared" si="105"/>
        <v>0</v>
      </c>
      <c r="AK229" s="100">
        <v>0</v>
      </c>
      <c r="AL229" s="100">
        <v>0</v>
      </c>
      <c r="AM229" s="100">
        <v>0</v>
      </c>
      <c r="AN229" s="100">
        <v>0</v>
      </c>
      <c r="AO229" s="100">
        <v>0</v>
      </c>
      <c r="AP229" s="100">
        <f t="shared" si="104"/>
        <v>299858</v>
      </c>
      <c r="AQ229" s="101">
        <f t="shared" si="96"/>
        <v>6296999</v>
      </c>
      <c r="AR229" s="101">
        <v>0</v>
      </c>
      <c r="AS229" s="101">
        <v>0</v>
      </c>
      <c r="AT229" s="102" t="s">
        <v>33</v>
      </c>
      <c r="AU229" s="109" t="s">
        <v>118</v>
      </c>
      <c r="AV229" s="100">
        <v>0</v>
      </c>
      <c r="AW229" s="105"/>
      <c r="AX229" s="106">
        <f t="shared" si="111"/>
        <v>4.6696525784420482</v>
      </c>
      <c r="AY229" s="101">
        <f t="shared" si="112"/>
        <v>280046</v>
      </c>
      <c r="AZ229" s="107"/>
      <c r="BA229" s="94">
        <v>45434.46875</v>
      </c>
      <c r="BB229" s="94">
        <v>45434.472222222219</v>
      </c>
      <c r="BC229" s="94">
        <v>45434.565972222219</v>
      </c>
      <c r="BD229" s="94">
        <v>45434.695138888892</v>
      </c>
      <c r="BE229" s="95">
        <f t="shared" si="113"/>
        <v>0.22638888889196096</v>
      </c>
      <c r="BF229" s="95">
        <v>1.7361111111111112E-2</v>
      </c>
      <c r="BG229" s="95">
        <v>8.819444444444445E-2</v>
      </c>
      <c r="BH229" s="95">
        <f t="shared" si="114"/>
        <v>3.4722222189884633E-3</v>
      </c>
      <c r="BI229" s="95">
        <f t="shared" si="114"/>
        <v>9.375E-2</v>
      </c>
      <c r="BJ229" s="95">
        <f t="shared" si="114"/>
        <v>0.1291666666729725</v>
      </c>
      <c r="BK229" s="95">
        <f t="shared" si="115"/>
        <v>0.2229166666729725</v>
      </c>
      <c r="BL229" s="95">
        <f t="shared" si="116"/>
        <v>0.11736111111741694</v>
      </c>
      <c r="BM229" s="95">
        <f t="shared" si="117"/>
        <v>1.8055555558627617E-2</v>
      </c>
      <c r="BN229" s="110"/>
    </row>
    <row r="230" spans="1:66" s="8" customFormat="1" ht="12.75" customHeight="1" x14ac:dyDescent="0.25">
      <c r="A230" s="90">
        <v>192</v>
      </c>
      <c r="B230" s="90">
        <v>89</v>
      </c>
      <c r="C230" s="90">
        <v>1</v>
      </c>
      <c r="D230" s="90" t="s">
        <v>113</v>
      </c>
      <c r="E230" s="91" t="s">
        <v>366</v>
      </c>
      <c r="F230" s="90" t="s">
        <v>13</v>
      </c>
      <c r="G230" s="90" t="s">
        <v>8</v>
      </c>
      <c r="H230" s="90" t="s">
        <v>131</v>
      </c>
      <c r="I230" s="92" t="s">
        <v>367</v>
      </c>
      <c r="J230" s="93">
        <v>45430</v>
      </c>
      <c r="K230" s="92" t="s">
        <v>122</v>
      </c>
      <c r="L230" s="92">
        <v>282000929</v>
      </c>
      <c r="M230" s="93">
        <v>45435</v>
      </c>
      <c r="N230" s="94">
        <v>45434.739583333336</v>
      </c>
      <c r="O230" s="94">
        <v>45434.739583333336</v>
      </c>
      <c r="P230" s="94">
        <v>45434.746527777781</v>
      </c>
      <c r="Q230" s="94">
        <v>45434.9375</v>
      </c>
      <c r="R230" s="114" t="s">
        <v>118</v>
      </c>
      <c r="S230" s="114" t="s">
        <v>118</v>
      </c>
      <c r="T230" s="114"/>
      <c r="U230" s="114"/>
      <c r="V230" s="95">
        <f t="shared" si="94"/>
        <v>0.19791666666424135</v>
      </c>
      <c r="W230" s="95">
        <v>0.20833333333333334</v>
      </c>
      <c r="X230" s="95" t="str">
        <f t="shared" si="95"/>
        <v>00:00</v>
      </c>
      <c r="Y230" s="96">
        <v>0</v>
      </c>
      <c r="Z230" s="96">
        <v>58</v>
      </c>
      <c r="AA230" s="96">
        <f t="shared" si="106"/>
        <v>58</v>
      </c>
      <c r="AB230" s="97">
        <f t="shared" si="107"/>
        <v>0</v>
      </c>
      <c r="AC230" s="97">
        <f t="shared" si="108"/>
        <v>3888.6400000000003</v>
      </c>
      <c r="AD230" s="98">
        <v>3888.64</v>
      </c>
      <c r="AE230" s="98">
        <v>4009.6</v>
      </c>
      <c r="AF230" s="98">
        <v>4009.6</v>
      </c>
      <c r="AG230" s="98">
        <f t="shared" si="109"/>
        <v>120.96000000000004</v>
      </c>
      <c r="AH230" s="99">
        <v>1398.7</v>
      </c>
      <c r="AI230" s="100">
        <f t="shared" si="110"/>
        <v>5608227.5200000005</v>
      </c>
      <c r="AJ230" s="100">
        <f t="shared" si="105"/>
        <v>0</v>
      </c>
      <c r="AK230" s="100">
        <v>0</v>
      </c>
      <c r="AL230" s="100">
        <v>0</v>
      </c>
      <c r="AM230" s="100">
        <v>0</v>
      </c>
      <c r="AN230" s="100">
        <v>0</v>
      </c>
      <c r="AO230" s="100">
        <v>0</v>
      </c>
      <c r="AP230" s="100">
        <f t="shared" si="104"/>
        <v>280412</v>
      </c>
      <c r="AQ230" s="101">
        <f t="shared" si="96"/>
        <v>5888640</v>
      </c>
      <c r="AR230" s="101">
        <v>0</v>
      </c>
      <c r="AS230" s="101">
        <v>0</v>
      </c>
      <c r="AT230" s="102" t="s">
        <v>34</v>
      </c>
      <c r="AU230" s="109" t="s">
        <v>118</v>
      </c>
      <c r="AV230" s="100">
        <v>0</v>
      </c>
      <c r="AW230" s="105"/>
      <c r="AX230" s="106">
        <f t="shared" si="111"/>
        <v>3.0167597765363139</v>
      </c>
      <c r="AY230" s="101">
        <f t="shared" si="112"/>
        <v>169187</v>
      </c>
      <c r="AZ230" s="107"/>
      <c r="BA230" s="94">
        <v>45434.739583333336</v>
      </c>
      <c r="BB230" s="94">
        <v>45434.743055555555</v>
      </c>
      <c r="BC230" s="94">
        <v>45434.763888888891</v>
      </c>
      <c r="BD230" s="94">
        <v>45434.916666666664</v>
      </c>
      <c r="BE230" s="95">
        <f t="shared" si="113"/>
        <v>0.17708333332848269</v>
      </c>
      <c r="BF230" s="95">
        <v>2.0833333333333332E-2</v>
      </c>
      <c r="BG230" s="95">
        <v>3.3333333333333333E-2</v>
      </c>
      <c r="BH230" s="95">
        <f t="shared" si="114"/>
        <v>3.4722222189884633E-3</v>
      </c>
      <c r="BI230" s="95">
        <f t="shared" si="114"/>
        <v>2.0833333335758653E-2</v>
      </c>
      <c r="BJ230" s="95">
        <f t="shared" si="114"/>
        <v>0.15277777777373558</v>
      </c>
      <c r="BK230" s="95">
        <f t="shared" si="115"/>
        <v>0.17361111110949423</v>
      </c>
      <c r="BL230" s="95">
        <f t="shared" si="116"/>
        <v>0.11944444444282756</v>
      </c>
      <c r="BM230" s="95" t="str">
        <f t="shared" si="117"/>
        <v>00:00</v>
      </c>
      <c r="BN230" s="110"/>
    </row>
    <row r="231" spans="1:66" s="8" customFormat="1" ht="12.75" customHeight="1" x14ac:dyDescent="0.25">
      <c r="A231" s="90">
        <v>193</v>
      </c>
      <c r="B231" s="90">
        <v>90</v>
      </c>
      <c r="C231" s="90">
        <v>14</v>
      </c>
      <c r="D231" s="90" t="s">
        <v>113</v>
      </c>
      <c r="E231" s="91" t="s">
        <v>173</v>
      </c>
      <c r="F231" s="90" t="s">
        <v>27</v>
      </c>
      <c r="G231" s="90" t="s">
        <v>12</v>
      </c>
      <c r="H231" s="90" t="s">
        <v>115</v>
      </c>
      <c r="I231" s="92" t="s">
        <v>368</v>
      </c>
      <c r="J231" s="93">
        <v>45433</v>
      </c>
      <c r="K231" s="92" t="s">
        <v>117</v>
      </c>
      <c r="L231" s="92">
        <v>282000930</v>
      </c>
      <c r="M231" s="93">
        <v>45435</v>
      </c>
      <c r="N231" s="94">
        <v>45434.9375</v>
      </c>
      <c r="O231" s="94">
        <v>45434.9375</v>
      </c>
      <c r="P231" s="94">
        <v>45434.940972222219</v>
      </c>
      <c r="Q231" s="94">
        <v>45435.145833333336</v>
      </c>
      <c r="R231" s="114" t="s">
        <v>118</v>
      </c>
      <c r="S231" s="114" t="s">
        <v>118</v>
      </c>
      <c r="T231" s="114"/>
      <c r="U231" s="114"/>
      <c r="V231" s="95">
        <f t="shared" si="94"/>
        <v>0.20833333333575865</v>
      </c>
      <c r="W231" s="95">
        <v>0.20833333333333334</v>
      </c>
      <c r="X231" s="95">
        <f t="shared" si="95"/>
        <v>2.4253099528692701E-12</v>
      </c>
      <c r="Y231" s="96">
        <v>0</v>
      </c>
      <c r="Z231" s="96">
        <v>59</v>
      </c>
      <c r="AA231" s="96">
        <f t="shared" si="106"/>
        <v>59</v>
      </c>
      <c r="AB231" s="97">
        <f t="shared" si="107"/>
        <v>0</v>
      </c>
      <c r="AC231" s="97">
        <f t="shared" si="108"/>
        <v>3964.43</v>
      </c>
      <c r="AD231" s="98">
        <v>3964.43</v>
      </c>
      <c r="AE231" s="98">
        <v>4108</v>
      </c>
      <c r="AF231" s="98">
        <v>4108.3999999999996</v>
      </c>
      <c r="AG231" s="98">
        <f t="shared" si="109"/>
        <v>143.9699999999998</v>
      </c>
      <c r="AH231" s="99">
        <v>1586.7</v>
      </c>
      <c r="AI231" s="100">
        <f t="shared" si="110"/>
        <v>6518798.2799999993</v>
      </c>
      <c r="AJ231" s="100">
        <f t="shared" si="105"/>
        <v>0</v>
      </c>
      <c r="AK231" s="100">
        <v>0</v>
      </c>
      <c r="AL231" s="100">
        <v>0</v>
      </c>
      <c r="AM231" s="100">
        <v>0</v>
      </c>
      <c r="AN231" s="100">
        <v>0</v>
      </c>
      <c r="AO231" s="100">
        <f>IFERROR(AF231*20+(((AJ231/AH231)/2)*20),0)</f>
        <v>82168</v>
      </c>
      <c r="AP231" s="100">
        <f t="shared" si="104"/>
        <v>330049</v>
      </c>
      <c r="AQ231" s="101">
        <f t="shared" si="96"/>
        <v>6931016</v>
      </c>
      <c r="AR231" s="101">
        <v>0</v>
      </c>
      <c r="AS231" s="101">
        <v>0</v>
      </c>
      <c r="AT231" s="102" t="s">
        <v>34</v>
      </c>
      <c r="AU231" s="109" t="s">
        <v>118</v>
      </c>
      <c r="AV231" s="100">
        <v>0</v>
      </c>
      <c r="AW231" s="105"/>
      <c r="AX231" s="106">
        <f t="shared" si="111"/>
        <v>3.5042839061435065</v>
      </c>
      <c r="AY231" s="101">
        <f t="shared" si="112"/>
        <v>228438</v>
      </c>
      <c r="AZ231" s="107"/>
      <c r="BA231" s="94">
        <v>45434.9375</v>
      </c>
      <c r="BB231" s="94">
        <v>45434.940972222219</v>
      </c>
      <c r="BC231" s="94">
        <v>45434.975694444445</v>
      </c>
      <c r="BD231" s="94">
        <v>45435.166666666664</v>
      </c>
      <c r="BE231" s="95">
        <f t="shared" si="113"/>
        <v>0.22916666666424135</v>
      </c>
      <c r="BF231" s="95">
        <v>0</v>
      </c>
      <c r="BG231" s="95">
        <v>8.3333333333333329E-2</v>
      </c>
      <c r="BH231" s="95">
        <f t="shared" si="114"/>
        <v>3.4722222189884633E-3</v>
      </c>
      <c r="BI231" s="95">
        <f t="shared" si="114"/>
        <v>3.4722222226264421E-2</v>
      </c>
      <c r="BJ231" s="95">
        <f t="shared" si="114"/>
        <v>0.19097222221898846</v>
      </c>
      <c r="BK231" s="95">
        <f t="shared" si="115"/>
        <v>0.22569444444525288</v>
      </c>
      <c r="BL231" s="95">
        <f t="shared" si="116"/>
        <v>0.14236111111191957</v>
      </c>
      <c r="BM231" s="95">
        <f t="shared" si="117"/>
        <v>2.0833333330908005E-2</v>
      </c>
      <c r="BN231" s="110"/>
    </row>
    <row r="232" spans="1:66" s="8" customFormat="1" ht="12.75" customHeight="1" x14ac:dyDescent="0.25">
      <c r="A232" s="90">
        <v>194</v>
      </c>
      <c r="B232" s="90">
        <v>91</v>
      </c>
      <c r="C232" s="90">
        <v>9</v>
      </c>
      <c r="D232" s="90" t="s">
        <v>148</v>
      </c>
      <c r="E232" s="91" t="s">
        <v>340</v>
      </c>
      <c r="F232" s="90" t="s">
        <v>16</v>
      </c>
      <c r="G232" s="90" t="s">
        <v>17</v>
      </c>
      <c r="H232" s="90" t="s">
        <v>150</v>
      </c>
      <c r="I232" s="92" t="s">
        <v>369</v>
      </c>
      <c r="J232" s="93">
        <v>45432</v>
      </c>
      <c r="K232" s="92" t="s">
        <v>122</v>
      </c>
      <c r="L232" s="92">
        <v>461000250</v>
      </c>
      <c r="M232" s="93">
        <v>45435</v>
      </c>
      <c r="N232" s="94">
        <v>45435.25</v>
      </c>
      <c r="O232" s="94">
        <v>45435.25</v>
      </c>
      <c r="P232" s="94">
        <v>45435.260416666664</v>
      </c>
      <c r="Q232" s="94">
        <v>45435.4375</v>
      </c>
      <c r="R232" s="114" t="s">
        <v>118</v>
      </c>
      <c r="S232" s="114" t="s">
        <v>118</v>
      </c>
      <c r="T232" s="114"/>
      <c r="U232" s="114"/>
      <c r="V232" s="95">
        <f t="shared" si="94"/>
        <v>0.1875</v>
      </c>
      <c r="W232" s="95">
        <v>0.20833333333333334</v>
      </c>
      <c r="X232" s="95" t="str">
        <f t="shared" si="95"/>
        <v>00:00</v>
      </c>
      <c r="Y232" s="96">
        <v>0</v>
      </c>
      <c r="Z232" s="96">
        <v>59</v>
      </c>
      <c r="AA232" s="96">
        <f t="shared" si="106"/>
        <v>59</v>
      </c>
      <c r="AB232" s="97">
        <f t="shared" si="107"/>
        <v>0</v>
      </c>
      <c r="AC232" s="97">
        <f t="shared" si="108"/>
        <v>4045.2999999999997</v>
      </c>
      <c r="AD232" s="98">
        <v>4045.3</v>
      </c>
      <c r="AE232" s="98">
        <v>4101</v>
      </c>
      <c r="AF232" s="98">
        <v>4106.2</v>
      </c>
      <c r="AG232" s="98">
        <f t="shared" si="109"/>
        <v>60.899999999999636</v>
      </c>
      <c r="AH232" s="99">
        <v>672.5</v>
      </c>
      <c r="AI232" s="100">
        <f t="shared" si="110"/>
        <v>2761419.5</v>
      </c>
      <c r="AJ232" s="100">
        <f>(0.2*AH232)*2</f>
        <v>269</v>
      </c>
      <c r="AK232" s="100">
        <v>0</v>
      </c>
      <c r="AL232" s="100">
        <v>0</v>
      </c>
      <c r="AM232" s="100">
        <v>0</v>
      </c>
      <c r="AN232" s="100">
        <v>0</v>
      </c>
      <c r="AO232" s="100">
        <v>0</v>
      </c>
      <c r="AP232" s="100">
        <f t="shared" si="104"/>
        <v>138085</v>
      </c>
      <c r="AQ232" s="101">
        <f t="shared" si="96"/>
        <v>2899774</v>
      </c>
      <c r="AR232" s="101">
        <v>0</v>
      </c>
      <c r="AS232" s="101">
        <v>0</v>
      </c>
      <c r="AT232" s="102" t="s">
        <v>33</v>
      </c>
      <c r="AU232" s="109" t="s">
        <v>118</v>
      </c>
      <c r="AV232" s="100">
        <v>0</v>
      </c>
      <c r="AW232" s="105"/>
      <c r="AX232" s="106">
        <f t="shared" si="111"/>
        <v>1.4831230821684194</v>
      </c>
      <c r="AY232" s="101">
        <f t="shared" si="112"/>
        <v>40956</v>
      </c>
      <c r="AZ232" s="107"/>
      <c r="BA232" s="94">
        <v>45435.25</v>
      </c>
      <c r="BB232" s="94">
        <v>45435.260416666664</v>
      </c>
      <c r="BC232" s="94">
        <v>45435.260416666664</v>
      </c>
      <c r="BD232" s="94">
        <v>45435.421527777777</v>
      </c>
      <c r="BE232" s="95">
        <f t="shared" si="113"/>
        <v>0.17152777777664596</v>
      </c>
      <c r="BF232" s="95">
        <v>0</v>
      </c>
      <c r="BG232" s="95">
        <v>2.5694444444444443E-2</v>
      </c>
      <c r="BH232" s="95">
        <f t="shared" si="114"/>
        <v>1.0416666664241347E-2</v>
      </c>
      <c r="BI232" s="95">
        <f t="shared" si="114"/>
        <v>0</v>
      </c>
      <c r="BJ232" s="95">
        <f t="shared" si="114"/>
        <v>0.16111111111240461</v>
      </c>
      <c r="BK232" s="95">
        <f t="shared" si="115"/>
        <v>0.16111111111240461</v>
      </c>
      <c r="BL232" s="95">
        <f t="shared" si="116"/>
        <v>0.13541666666796018</v>
      </c>
      <c r="BM232" s="95" t="str">
        <f t="shared" si="117"/>
        <v>00:00</v>
      </c>
      <c r="BN232" s="110"/>
    </row>
    <row r="233" spans="1:66" s="8" customFormat="1" ht="12.75" customHeight="1" x14ac:dyDescent="0.25">
      <c r="A233" s="90">
        <v>195</v>
      </c>
      <c r="B233" s="90">
        <v>92</v>
      </c>
      <c r="C233" s="90">
        <v>6</v>
      </c>
      <c r="D233" s="90" t="s">
        <v>113</v>
      </c>
      <c r="E233" s="91" t="s">
        <v>299</v>
      </c>
      <c r="F233" s="90" t="s">
        <v>7</v>
      </c>
      <c r="G233" s="90" t="s">
        <v>8</v>
      </c>
      <c r="H233" s="90" t="s">
        <v>300</v>
      </c>
      <c r="I233" s="92" t="s">
        <v>370</v>
      </c>
      <c r="J233" s="93">
        <v>45426</v>
      </c>
      <c r="K233" s="92" t="s">
        <v>117</v>
      </c>
      <c r="L233" s="92">
        <v>282000931</v>
      </c>
      <c r="M233" s="93">
        <v>45436</v>
      </c>
      <c r="N233" s="94">
        <v>45435.375</v>
      </c>
      <c r="O233" s="94">
        <v>45435.375</v>
      </c>
      <c r="P233" s="94">
        <v>45435.378472222219</v>
      </c>
      <c r="Q233" s="94">
        <v>45435.583333333336</v>
      </c>
      <c r="R233" s="114" t="s">
        <v>118</v>
      </c>
      <c r="S233" s="114">
        <v>45435.625</v>
      </c>
      <c r="T233" s="114"/>
      <c r="U233" s="114"/>
      <c r="V233" s="95">
        <f t="shared" si="94"/>
        <v>0.20833333333575865</v>
      </c>
      <c r="W233" s="95">
        <v>0.20833333333333334</v>
      </c>
      <c r="X233" s="95">
        <f t="shared" si="95"/>
        <v>2.4253099528692701E-12</v>
      </c>
      <c r="Y233" s="96">
        <v>0</v>
      </c>
      <c r="Z233" s="96">
        <v>58</v>
      </c>
      <c r="AA233" s="96">
        <f t="shared" si="106"/>
        <v>58</v>
      </c>
      <c r="AB233" s="97">
        <f t="shared" si="107"/>
        <v>0</v>
      </c>
      <c r="AC233" s="97">
        <f t="shared" si="108"/>
        <v>4017.3</v>
      </c>
      <c r="AD233" s="98">
        <v>4017.3</v>
      </c>
      <c r="AE233" s="98">
        <v>4060</v>
      </c>
      <c r="AF233" s="98">
        <v>4078.6</v>
      </c>
      <c r="AG233" s="98">
        <f t="shared" si="109"/>
        <v>61.299999999999727</v>
      </c>
      <c r="AH233" s="99">
        <v>1484</v>
      </c>
      <c r="AI233" s="100">
        <f t="shared" si="110"/>
        <v>6052642.3999999994</v>
      </c>
      <c r="AJ233" s="100">
        <f>(0*AH233)*2</f>
        <v>0</v>
      </c>
      <c r="AK233" s="100">
        <v>0</v>
      </c>
      <c r="AL233" s="100">
        <v>24140</v>
      </c>
      <c r="AM233" s="100">
        <v>0</v>
      </c>
      <c r="AN233" s="100">
        <v>0</v>
      </c>
      <c r="AO233" s="100">
        <v>0</v>
      </c>
      <c r="AP233" s="100">
        <f t="shared" si="104"/>
        <v>303840</v>
      </c>
      <c r="AQ233" s="101">
        <f t="shared" si="96"/>
        <v>6380623</v>
      </c>
      <c r="AR233" s="101">
        <v>0</v>
      </c>
      <c r="AS233" s="101">
        <v>0</v>
      </c>
      <c r="AT233" s="102" t="s">
        <v>33</v>
      </c>
      <c r="AU233" s="109"/>
      <c r="AV233" s="100">
        <f>45-15.5</f>
        <v>29.5</v>
      </c>
      <c r="AW233" s="105"/>
      <c r="AX233" s="106">
        <f t="shared" si="111"/>
        <v>1.5029667042612593</v>
      </c>
      <c r="AY233" s="101">
        <f t="shared" si="112"/>
        <v>90970</v>
      </c>
      <c r="AZ233" s="107"/>
      <c r="BA233" s="94">
        <v>45435.375</v>
      </c>
      <c r="BB233" s="94">
        <v>45435.378472222219</v>
      </c>
      <c r="BC233" s="94">
        <v>45435.465277777781</v>
      </c>
      <c r="BD233" s="94">
        <v>45435.615277777775</v>
      </c>
      <c r="BE233" s="95">
        <f t="shared" si="113"/>
        <v>0.24027777777519077</v>
      </c>
      <c r="BF233" s="95">
        <v>4.4444444444444446E-2</v>
      </c>
      <c r="BG233" s="95">
        <v>6.5972222222222224E-2</v>
      </c>
      <c r="BH233" s="95">
        <f t="shared" si="114"/>
        <v>3.4722222189884633E-3</v>
      </c>
      <c r="BI233" s="95">
        <f t="shared" si="114"/>
        <v>8.6805555562023073E-2</v>
      </c>
      <c r="BJ233" s="95">
        <f t="shared" si="114"/>
        <v>0.14999999999417923</v>
      </c>
      <c r="BK233" s="95">
        <f t="shared" si="115"/>
        <v>0.23680555555620231</v>
      </c>
      <c r="BL233" s="95">
        <f t="shared" si="116"/>
        <v>0.12638888888953564</v>
      </c>
      <c r="BM233" s="95">
        <f t="shared" si="117"/>
        <v>3.1944444441857428E-2</v>
      </c>
      <c r="BN233" s="110"/>
    </row>
    <row r="234" spans="1:66" s="8" customFormat="1" ht="12.75" customHeight="1" x14ac:dyDescent="0.25">
      <c r="A234" s="90">
        <v>196</v>
      </c>
      <c r="B234" s="90">
        <v>93</v>
      </c>
      <c r="C234" s="90">
        <v>10</v>
      </c>
      <c r="D234" s="90" t="s">
        <v>148</v>
      </c>
      <c r="E234" s="91" t="s">
        <v>340</v>
      </c>
      <c r="F234" s="90" t="s">
        <v>16</v>
      </c>
      <c r="G234" s="90" t="s">
        <v>17</v>
      </c>
      <c r="H234" s="90" t="s">
        <v>150</v>
      </c>
      <c r="I234" s="92" t="s">
        <v>371</v>
      </c>
      <c r="J234" s="93">
        <v>45432</v>
      </c>
      <c r="K234" s="92" t="s">
        <v>122</v>
      </c>
      <c r="L234" s="92">
        <v>461000251</v>
      </c>
      <c r="M234" s="93">
        <v>45435</v>
      </c>
      <c r="N234" s="94">
        <v>45435.59375</v>
      </c>
      <c r="O234" s="94">
        <v>45435.59375</v>
      </c>
      <c r="P234" s="94">
        <v>45435.597222222219</v>
      </c>
      <c r="Q234" s="94">
        <v>45435.798611111109</v>
      </c>
      <c r="R234" s="114" t="s">
        <v>118</v>
      </c>
      <c r="S234" s="114" t="s">
        <v>118</v>
      </c>
      <c r="T234" s="114"/>
      <c r="U234" s="114"/>
      <c r="V234" s="95">
        <f t="shared" si="94"/>
        <v>0.20486111110949423</v>
      </c>
      <c r="W234" s="95">
        <v>0.20833333333333334</v>
      </c>
      <c r="X234" s="95" t="str">
        <f t="shared" si="95"/>
        <v>00:00</v>
      </c>
      <c r="Y234" s="96">
        <v>0</v>
      </c>
      <c r="Z234" s="96">
        <v>58</v>
      </c>
      <c r="AA234" s="96">
        <f t="shared" si="106"/>
        <v>58</v>
      </c>
      <c r="AB234" s="97">
        <f t="shared" si="107"/>
        <v>0</v>
      </c>
      <c r="AC234" s="97">
        <f t="shared" si="108"/>
        <v>3966.22</v>
      </c>
      <c r="AD234" s="98">
        <v>3966.22</v>
      </c>
      <c r="AE234" s="98">
        <v>4037.5</v>
      </c>
      <c r="AF234" s="98">
        <v>4040.8</v>
      </c>
      <c r="AG234" s="98">
        <f t="shared" si="109"/>
        <v>74.580000000000382</v>
      </c>
      <c r="AH234" s="99">
        <v>672.5</v>
      </c>
      <c r="AI234" s="100">
        <f t="shared" si="110"/>
        <v>2717438</v>
      </c>
      <c r="AJ234" s="100">
        <f>(0*AH234)*2</f>
        <v>0</v>
      </c>
      <c r="AK234" s="100">
        <v>0</v>
      </c>
      <c r="AL234" s="100">
        <v>0</v>
      </c>
      <c r="AM234" s="100">
        <v>0</v>
      </c>
      <c r="AN234" s="100">
        <v>0</v>
      </c>
      <c r="AO234" s="100">
        <v>0</v>
      </c>
      <c r="AP234" s="100">
        <f t="shared" si="104"/>
        <v>135872</v>
      </c>
      <c r="AQ234" s="101">
        <f t="shared" si="96"/>
        <v>2853310</v>
      </c>
      <c r="AR234" s="101">
        <v>0</v>
      </c>
      <c r="AS234" s="101">
        <v>0</v>
      </c>
      <c r="AT234" s="102" t="s">
        <v>34</v>
      </c>
      <c r="AU234" s="109" t="s">
        <v>118</v>
      </c>
      <c r="AV234" s="100">
        <v>0</v>
      </c>
      <c r="AW234" s="105"/>
      <c r="AX234" s="106">
        <f t="shared" si="111"/>
        <v>1.8456741239358636</v>
      </c>
      <c r="AY234" s="101">
        <f t="shared" si="112"/>
        <v>50156</v>
      </c>
      <c r="AZ234" s="107"/>
      <c r="BA234" s="94">
        <v>45435.59375</v>
      </c>
      <c r="BB234" s="94">
        <v>45435.597222222219</v>
      </c>
      <c r="BC234" s="94">
        <v>45435.654861111114</v>
      </c>
      <c r="BD234" s="94">
        <v>45435.779166666667</v>
      </c>
      <c r="BE234" s="95">
        <f t="shared" si="113"/>
        <v>0.18541666666715173</v>
      </c>
      <c r="BF234" s="95">
        <v>5.5555555555555558E-3</v>
      </c>
      <c r="BG234" s="95">
        <v>5.6944444444444443E-2</v>
      </c>
      <c r="BH234" s="95">
        <f t="shared" si="114"/>
        <v>3.4722222189884633E-3</v>
      </c>
      <c r="BI234" s="95">
        <f t="shared" si="114"/>
        <v>5.7638888894871343E-2</v>
      </c>
      <c r="BJ234" s="95">
        <f t="shared" si="114"/>
        <v>0.12430555555329192</v>
      </c>
      <c r="BK234" s="95">
        <f t="shared" si="115"/>
        <v>0.18194444444816327</v>
      </c>
      <c r="BL234" s="95">
        <f t="shared" si="116"/>
        <v>0.11944444444816327</v>
      </c>
      <c r="BM234" s="95" t="str">
        <f t="shared" si="117"/>
        <v>00:00</v>
      </c>
      <c r="BN234" s="110"/>
    </row>
    <row r="235" spans="1:66" s="8" customFormat="1" ht="12.75" customHeight="1" x14ac:dyDescent="0.25">
      <c r="A235" s="90">
        <v>197</v>
      </c>
      <c r="B235" s="90">
        <v>94</v>
      </c>
      <c r="C235" s="90">
        <v>12</v>
      </c>
      <c r="D235" s="90" t="s">
        <v>113</v>
      </c>
      <c r="E235" s="91" t="s">
        <v>319</v>
      </c>
      <c r="F235" s="90" t="s">
        <v>32</v>
      </c>
      <c r="G235" s="90" t="s">
        <v>8</v>
      </c>
      <c r="H235" s="90" t="s">
        <v>146</v>
      </c>
      <c r="I235" s="92" t="s">
        <v>372</v>
      </c>
      <c r="J235" s="93">
        <v>45433</v>
      </c>
      <c r="K235" s="92" t="s">
        <v>117</v>
      </c>
      <c r="L235" s="92">
        <v>261005731</v>
      </c>
      <c r="M235" s="93">
        <v>45436</v>
      </c>
      <c r="N235" s="94">
        <v>45435.791666666664</v>
      </c>
      <c r="O235" s="94">
        <v>45435.791666666664</v>
      </c>
      <c r="P235" s="94">
        <v>45435.822916666664</v>
      </c>
      <c r="Q235" s="94">
        <v>45435.993055555555</v>
      </c>
      <c r="R235" s="114" t="s">
        <v>118</v>
      </c>
      <c r="S235" s="114" t="s">
        <v>118</v>
      </c>
      <c r="T235" s="114"/>
      <c r="U235" s="114"/>
      <c r="V235" s="95">
        <f t="shared" si="94"/>
        <v>0.20138888889050577</v>
      </c>
      <c r="W235" s="95">
        <v>0.20833333333333334</v>
      </c>
      <c r="X235" s="95" t="str">
        <f t="shared" si="95"/>
        <v>00:00</v>
      </c>
      <c r="Y235" s="96">
        <v>0</v>
      </c>
      <c r="Z235" s="96">
        <v>59</v>
      </c>
      <c r="AA235" s="96">
        <f t="shared" si="106"/>
        <v>59</v>
      </c>
      <c r="AB235" s="97">
        <f t="shared" si="107"/>
        <v>0</v>
      </c>
      <c r="AC235" s="97">
        <f t="shared" si="108"/>
        <v>3959.8099999999995</v>
      </c>
      <c r="AD235" s="98">
        <v>3959.81</v>
      </c>
      <c r="AE235" s="98">
        <v>4095.2</v>
      </c>
      <c r="AF235" s="98">
        <v>4095.2</v>
      </c>
      <c r="AG235" s="98">
        <f t="shared" si="109"/>
        <v>135.38999999999987</v>
      </c>
      <c r="AH235" s="99">
        <v>1398.7</v>
      </c>
      <c r="AI235" s="100">
        <f t="shared" si="110"/>
        <v>5727956.2400000002</v>
      </c>
      <c r="AJ235" s="100">
        <f>(0*AH235)*2</f>
        <v>0</v>
      </c>
      <c r="AK235" s="100">
        <v>0</v>
      </c>
      <c r="AL235" s="100">
        <v>0</v>
      </c>
      <c r="AM235" s="100">
        <v>0</v>
      </c>
      <c r="AN235" s="100">
        <v>0</v>
      </c>
      <c r="AO235" s="100">
        <v>0</v>
      </c>
      <c r="AP235" s="100">
        <f t="shared" si="104"/>
        <v>286398</v>
      </c>
      <c r="AQ235" s="101">
        <f t="shared" si="96"/>
        <v>6014355</v>
      </c>
      <c r="AR235" s="101">
        <v>0</v>
      </c>
      <c r="AS235" s="101">
        <v>0</v>
      </c>
      <c r="AT235" s="102" t="s">
        <v>33</v>
      </c>
      <c r="AU235" s="109" t="s">
        <v>118</v>
      </c>
      <c r="AV235" s="100">
        <v>0</v>
      </c>
      <c r="AW235" s="105"/>
      <c r="AX235" s="106">
        <f t="shared" si="111"/>
        <v>3.3060656378198834</v>
      </c>
      <c r="AY235" s="101">
        <f t="shared" si="112"/>
        <v>189370</v>
      </c>
      <c r="AZ235" s="107"/>
      <c r="BA235" s="94">
        <v>45435.791666666664</v>
      </c>
      <c r="BB235" s="94">
        <v>45435.822916666664</v>
      </c>
      <c r="BC235" s="94">
        <v>45435.822916666664</v>
      </c>
      <c r="BD235" s="94">
        <v>45435.975694444445</v>
      </c>
      <c r="BE235" s="95">
        <f t="shared" si="113"/>
        <v>0.18402777778101154</v>
      </c>
      <c r="BF235" s="95">
        <v>0</v>
      </c>
      <c r="BG235" s="95">
        <v>3.0555555555555555E-2</v>
      </c>
      <c r="BH235" s="95">
        <f t="shared" si="114"/>
        <v>3.125E-2</v>
      </c>
      <c r="BI235" s="95">
        <f t="shared" si="114"/>
        <v>0</v>
      </c>
      <c r="BJ235" s="95">
        <f t="shared" si="114"/>
        <v>0.15277777778101154</v>
      </c>
      <c r="BK235" s="95">
        <f t="shared" si="115"/>
        <v>0.15277777778101154</v>
      </c>
      <c r="BL235" s="95">
        <f t="shared" si="116"/>
        <v>0.12222222222545598</v>
      </c>
      <c r="BM235" s="95" t="str">
        <f t="shared" si="117"/>
        <v>00:00</v>
      </c>
      <c r="BN235" s="110"/>
    </row>
    <row r="236" spans="1:66" s="8" customFormat="1" ht="12.75" customHeight="1" x14ac:dyDescent="0.25">
      <c r="A236" s="90">
        <v>198</v>
      </c>
      <c r="B236" s="90">
        <v>95</v>
      </c>
      <c r="C236" s="90">
        <v>11</v>
      </c>
      <c r="D236" s="90" t="s">
        <v>148</v>
      </c>
      <c r="E236" s="91" t="s">
        <v>340</v>
      </c>
      <c r="F236" s="90" t="s">
        <v>16</v>
      </c>
      <c r="G236" s="90" t="s">
        <v>17</v>
      </c>
      <c r="H236" s="90" t="s">
        <v>150</v>
      </c>
      <c r="I236" s="92" t="s">
        <v>373</v>
      </c>
      <c r="J236" s="93">
        <v>45434</v>
      </c>
      <c r="K236" s="92" t="s">
        <v>122</v>
      </c>
      <c r="L236" s="92">
        <v>461000252</v>
      </c>
      <c r="M236" s="93">
        <v>45436</v>
      </c>
      <c r="N236" s="94">
        <v>45435.979166666664</v>
      </c>
      <c r="O236" s="94">
        <v>45435.979166666664</v>
      </c>
      <c r="P236" s="94">
        <v>45435.982638888891</v>
      </c>
      <c r="Q236" s="94">
        <v>45436.1875</v>
      </c>
      <c r="R236" s="114" t="s">
        <v>118</v>
      </c>
      <c r="S236" s="114" t="s">
        <v>118</v>
      </c>
      <c r="T236" s="114"/>
      <c r="U236" s="114"/>
      <c r="V236" s="95">
        <f t="shared" si="94"/>
        <v>0.20833333333575865</v>
      </c>
      <c r="W236" s="95">
        <v>0.20833333333333334</v>
      </c>
      <c r="X236" s="95">
        <f t="shared" si="95"/>
        <v>2.4253099528692701E-12</v>
      </c>
      <c r="Y236" s="96">
        <v>0</v>
      </c>
      <c r="Z236" s="96">
        <v>59</v>
      </c>
      <c r="AA236" s="96">
        <f t="shared" si="106"/>
        <v>59</v>
      </c>
      <c r="AB236" s="97">
        <f t="shared" si="107"/>
        <v>0</v>
      </c>
      <c r="AC236" s="97">
        <f t="shared" si="108"/>
        <v>4019.45</v>
      </c>
      <c r="AD236" s="98">
        <v>4019.45</v>
      </c>
      <c r="AE236" s="98">
        <v>4077.1</v>
      </c>
      <c r="AF236" s="98">
        <v>4082.8</v>
      </c>
      <c r="AG236" s="98">
        <f t="shared" si="109"/>
        <v>63.350000000000364</v>
      </c>
      <c r="AH236" s="99">
        <v>672.5</v>
      </c>
      <c r="AI236" s="100">
        <f t="shared" si="110"/>
        <v>2745683</v>
      </c>
      <c r="AJ236" s="100">
        <f>(0.6*AH236)*2</f>
        <v>807</v>
      </c>
      <c r="AK236" s="100">
        <v>0</v>
      </c>
      <c r="AL236" s="100">
        <v>0</v>
      </c>
      <c r="AM236" s="100">
        <v>0</v>
      </c>
      <c r="AN236" s="100">
        <v>0</v>
      </c>
      <c r="AO236" s="100">
        <v>0</v>
      </c>
      <c r="AP236" s="100">
        <f t="shared" si="104"/>
        <v>137325</v>
      </c>
      <c r="AQ236" s="101">
        <f t="shared" si="96"/>
        <v>2883815</v>
      </c>
      <c r="AR236" s="101">
        <v>0</v>
      </c>
      <c r="AS236" s="101">
        <v>0</v>
      </c>
      <c r="AT236" s="102" t="s">
        <v>33</v>
      </c>
      <c r="AU236" s="109" t="s">
        <v>118</v>
      </c>
      <c r="AV236" s="100">
        <v>0</v>
      </c>
      <c r="AW236" s="105"/>
      <c r="AX236" s="106">
        <f t="shared" si="111"/>
        <v>1.5516312334672373</v>
      </c>
      <c r="AY236" s="101">
        <f t="shared" si="112"/>
        <v>42603</v>
      </c>
      <c r="AZ236" s="107"/>
      <c r="BA236" s="94">
        <v>45435.979166666664</v>
      </c>
      <c r="BB236" s="94">
        <v>45435.982638888891</v>
      </c>
      <c r="BC236" s="94">
        <v>45435.996527777781</v>
      </c>
      <c r="BD236" s="94">
        <v>45436.135416666664</v>
      </c>
      <c r="BE236" s="95">
        <f t="shared" si="113"/>
        <v>0.15625</v>
      </c>
      <c r="BF236" s="95">
        <v>1.7361111111111112E-2</v>
      </c>
      <c r="BG236" s="95">
        <v>2.2222222222222223E-2</v>
      </c>
      <c r="BH236" s="95">
        <f t="shared" si="114"/>
        <v>3.4722222262644209E-3</v>
      </c>
      <c r="BI236" s="95">
        <f t="shared" si="114"/>
        <v>1.3888888890505768E-2</v>
      </c>
      <c r="BJ236" s="95">
        <f t="shared" si="114"/>
        <v>0.13888888888322981</v>
      </c>
      <c r="BK236" s="95">
        <f t="shared" si="115"/>
        <v>0.15277777777373558</v>
      </c>
      <c r="BL236" s="95">
        <f t="shared" si="116"/>
        <v>0.11319444444040225</v>
      </c>
      <c r="BM236" s="95" t="str">
        <f t="shared" si="117"/>
        <v>00:00</v>
      </c>
      <c r="BN236" s="110"/>
    </row>
    <row r="237" spans="1:66" s="8" customFormat="1" ht="12.75" customHeight="1" x14ac:dyDescent="0.25">
      <c r="A237" s="90">
        <v>199</v>
      </c>
      <c r="B237" s="90">
        <v>96</v>
      </c>
      <c r="C237" s="90">
        <v>2</v>
      </c>
      <c r="D237" s="90" t="s">
        <v>113</v>
      </c>
      <c r="E237" s="91" t="s">
        <v>366</v>
      </c>
      <c r="F237" s="90" t="s">
        <v>13</v>
      </c>
      <c r="G237" s="90" t="s">
        <v>8</v>
      </c>
      <c r="H237" s="90" t="s">
        <v>131</v>
      </c>
      <c r="I237" s="92" t="s">
        <v>374</v>
      </c>
      <c r="J237" s="93">
        <v>45430</v>
      </c>
      <c r="K237" s="92" t="s">
        <v>117</v>
      </c>
      <c r="L237" s="92">
        <v>282000932</v>
      </c>
      <c r="M237" s="93">
        <v>45436</v>
      </c>
      <c r="N237" s="94">
        <v>45436.1875</v>
      </c>
      <c r="O237" s="94">
        <v>45436.1875</v>
      </c>
      <c r="P237" s="94">
        <v>45436.190972222219</v>
      </c>
      <c r="Q237" s="94">
        <v>45436.385416666664</v>
      </c>
      <c r="R237" s="114" t="s">
        <v>118</v>
      </c>
      <c r="S237" s="114" t="s">
        <v>118</v>
      </c>
      <c r="T237" s="114"/>
      <c r="U237" s="114"/>
      <c r="V237" s="95">
        <f t="shared" si="94"/>
        <v>0.19791666666424135</v>
      </c>
      <c r="W237" s="95">
        <v>0.20833333333333334</v>
      </c>
      <c r="X237" s="95" t="str">
        <f t="shared" si="95"/>
        <v>00:00</v>
      </c>
      <c r="Y237" s="96">
        <v>0</v>
      </c>
      <c r="Z237" s="96">
        <v>59</v>
      </c>
      <c r="AA237" s="96">
        <f t="shared" si="106"/>
        <v>59</v>
      </c>
      <c r="AB237" s="97">
        <f t="shared" si="107"/>
        <v>0</v>
      </c>
      <c r="AC237" s="97">
        <f t="shared" si="108"/>
        <v>3966.84</v>
      </c>
      <c r="AD237" s="98">
        <v>3966.84</v>
      </c>
      <c r="AE237" s="98">
        <v>4103</v>
      </c>
      <c r="AF237" s="98">
        <v>4103</v>
      </c>
      <c r="AG237" s="98">
        <f t="shared" si="109"/>
        <v>136.15999999999985</v>
      </c>
      <c r="AH237" s="99">
        <v>1398.7</v>
      </c>
      <c r="AI237" s="100">
        <f t="shared" si="110"/>
        <v>5738866.1000000006</v>
      </c>
      <c r="AJ237" s="100">
        <f t="shared" ref="AJ237:AJ246" si="118">(0*AH237)*2</f>
        <v>0</v>
      </c>
      <c r="AK237" s="100">
        <v>0</v>
      </c>
      <c r="AL237" s="100">
        <v>0</v>
      </c>
      <c r="AM237" s="100">
        <v>0</v>
      </c>
      <c r="AN237" s="100">
        <v>0</v>
      </c>
      <c r="AO237" s="100">
        <v>0</v>
      </c>
      <c r="AP237" s="100">
        <f t="shared" si="104"/>
        <v>286944</v>
      </c>
      <c r="AQ237" s="101">
        <f t="shared" si="96"/>
        <v>6025811</v>
      </c>
      <c r="AR237" s="101">
        <v>0</v>
      </c>
      <c r="AS237" s="101">
        <v>0</v>
      </c>
      <c r="AT237" s="102" t="s">
        <v>34</v>
      </c>
      <c r="AU237" s="109" t="s">
        <v>118</v>
      </c>
      <c r="AV237" s="100">
        <v>0</v>
      </c>
      <c r="AW237" s="105"/>
      <c r="AX237" s="106">
        <f t="shared" si="111"/>
        <v>3.3185474043382852</v>
      </c>
      <c r="AY237" s="101">
        <f t="shared" si="112"/>
        <v>190447</v>
      </c>
      <c r="AZ237" s="107"/>
      <c r="BA237" s="94">
        <v>45436.1875</v>
      </c>
      <c r="BB237" s="94">
        <v>45436.190972222219</v>
      </c>
      <c r="BC237" s="94">
        <v>45436.190972222219</v>
      </c>
      <c r="BD237" s="94">
        <v>45436.35833333333</v>
      </c>
      <c r="BE237" s="95">
        <f t="shared" si="113"/>
        <v>0.17083333332993789</v>
      </c>
      <c r="BF237" s="95">
        <v>1.3888888888888888E-2</v>
      </c>
      <c r="BG237" s="95">
        <v>2.013888888888889E-2</v>
      </c>
      <c r="BH237" s="95">
        <f t="shared" si="114"/>
        <v>3.4722222189884633E-3</v>
      </c>
      <c r="BI237" s="95">
        <f t="shared" si="114"/>
        <v>0</v>
      </c>
      <c r="BJ237" s="95">
        <f t="shared" si="114"/>
        <v>0.16736111111094942</v>
      </c>
      <c r="BK237" s="95">
        <f t="shared" si="115"/>
        <v>0.16736111111094942</v>
      </c>
      <c r="BL237" s="95">
        <f t="shared" si="116"/>
        <v>0.13333333333317163</v>
      </c>
      <c r="BM237" s="95" t="str">
        <f t="shared" si="117"/>
        <v>00:00</v>
      </c>
      <c r="BN237" s="110"/>
    </row>
    <row r="238" spans="1:66" s="8" customFormat="1" ht="12.75" customHeight="1" x14ac:dyDescent="0.25">
      <c r="A238" s="90">
        <v>200</v>
      </c>
      <c r="B238" s="90">
        <v>97</v>
      </c>
      <c r="C238" s="90">
        <v>12</v>
      </c>
      <c r="D238" s="90" t="s">
        <v>148</v>
      </c>
      <c r="E238" s="91" t="s">
        <v>340</v>
      </c>
      <c r="F238" s="90" t="s">
        <v>16</v>
      </c>
      <c r="G238" s="90" t="s">
        <v>17</v>
      </c>
      <c r="H238" s="90" t="s">
        <v>150</v>
      </c>
      <c r="I238" s="92" t="s">
        <v>375</v>
      </c>
      <c r="J238" s="93">
        <v>45434</v>
      </c>
      <c r="K238" s="92" t="s">
        <v>122</v>
      </c>
      <c r="L238" s="92">
        <v>461000253</v>
      </c>
      <c r="M238" s="93">
        <v>45436</v>
      </c>
      <c r="N238" s="94">
        <v>45436.354166666664</v>
      </c>
      <c r="O238" s="94">
        <v>45436.354166666664</v>
      </c>
      <c r="P238" s="94">
        <v>45436.357638888891</v>
      </c>
      <c r="Q238" s="94">
        <v>45436.5625</v>
      </c>
      <c r="R238" s="114" t="s">
        <v>118</v>
      </c>
      <c r="S238" s="114">
        <v>45436.638888888891</v>
      </c>
      <c r="T238" s="114"/>
      <c r="U238" s="114"/>
      <c r="V238" s="95">
        <f t="shared" si="94"/>
        <v>0.20833333333575865</v>
      </c>
      <c r="W238" s="95">
        <v>0.20833333333333334</v>
      </c>
      <c r="X238" s="95">
        <f t="shared" si="95"/>
        <v>2.4253099528692701E-12</v>
      </c>
      <c r="Y238" s="96">
        <v>0</v>
      </c>
      <c r="Z238" s="96">
        <v>58</v>
      </c>
      <c r="AA238" s="96">
        <f t="shared" si="106"/>
        <v>58</v>
      </c>
      <c r="AB238" s="97">
        <f t="shared" si="107"/>
        <v>0</v>
      </c>
      <c r="AC238" s="97">
        <f t="shared" si="108"/>
        <v>4006.81</v>
      </c>
      <c r="AD238" s="98">
        <v>4006.81</v>
      </c>
      <c r="AE238" s="98">
        <v>4025.2</v>
      </c>
      <c r="AF238" s="98">
        <v>4042.8</v>
      </c>
      <c r="AG238" s="98">
        <f t="shared" si="109"/>
        <v>35.990000000000236</v>
      </c>
      <c r="AH238" s="99">
        <v>672.5</v>
      </c>
      <c r="AI238" s="100">
        <f t="shared" si="110"/>
        <v>2718783</v>
      </c>
      <c r="AJ238" s="100">
        <f t="shared" si="118"/>
        <v>0</v>
      </c>
      <c r="AK238" s="100">
        <v>0</v>
      </c>
      <c r="AL238" s="100">
        <v>24140</v>
      </c>
      <c r="AM238" s="100">
        <v>0</v>
      </c>
      <c r="AN238" s="100">
        <v>0</v>
      </c>
      <c r="AO238" s="100">
        <v>0</v>
      </c>
      <c r="AP238" s="100">
        <f t="shared" si="104"/>
        <v>137147</v>
      </c>
      <c r="AQ238" s="101">
        <f t="shared" si="96"/>
        <v>2880070</v>
      </c>
      <c r="AR238" s="101">
        <v>0</v>
      </c>
      <c r="AS238" s="101">
        <v>0</v>
      </c>
      <c r="AT238" s="102" t="s">
        <v>33</v>
      </c>
      <c r="AU238" s="109"/>
      <c r="AV238" s="100">
        <f>24.3-14.3</f>
        <v>10</v>
      </c>
      <c r="AW238" s="105"/>
      <c r="AX238" s="106">
        <f t="shared" si="111"/>
        <v>0.89022459681409505</v>
      </c>
      <c r="AY238" s="101">
        <f t="shared" si="112"/>
        <v>24204</v>
      </c>
      <c r="AZ238" s="107"/>
      <c r="BA238" s="94">
        <v>45436.354166666664</v>
      </c>
      <c r="BB238" s="94">
        <v>45436.357638888891</v>
      </c>
      <c r="BC238" s="94">
        <v>45436.413194444445</v>
      </c>
      <c r="BD238" s="94">
        <v>45436.621527777781</v>
      </c>
      <c r="BE238" s="95">
        <f t="shared" si="113"/>
        <v>0.26736111111677019</v>
      </c>
      <c r="BF238" s="95">
        <v>6.25E-2</v>
      </c>
      <c r="BG238" s="95">
        <v>4.8611111111111112E-2</v>
      </c>
      <c r="BH238" s="95">
        <f t="shared" si="114"/>
        <v>3.4722222262644209E-3</v>
      </c>
      <c r="BI238" s="95">
        <f t="shared" si="114"/>
        <v>5.5555555554747116E-2</v>
      </c>
      <c r="BJ238" s="95">
        <f t="shared" si="114"/>
        <v>0.20833333333575865</v>
      </c>
      <c r="BK238" s="95">
        <f t="shared" si="115"/>
        <v>0.26388888889050577</v>
      </c>
      <c r="BL238" s="95">
        <f t="shared" si="116"/>
        <v>0.15277777777939466</v>
      </c>
      <c r="BM238" s="95">
        <f t="shared" si="117"/>
        <v>5.9027777783436847E-2</v>
      </c>
      <c r="BN238" s="110"/>
    </row>
    <row r="239" spans="1:66" s="8" customFormat="1" ht="12.75" customHeight="1" x14ac:dyDescent="0.25">
      <c r="A239" s="90">
        <v>201</v>
      </c>
      <c r="B239" s="90">
        <v>98</v>
      </c>
      <c r="C239" s="90">
        <v>13</v>
      </c>
      <c r="D239" s="90" t="s">
        <v>113</v>
      </c>
      <c r="E239" s="91" t="s">
        <v>319</v>
      </c>
      <c r="F239" s="90" t="s">
        <v>32</v>
      </c>
      <c r="G239" s="90" t="s">
        <v>8</v>
      </c>
      <c r="H239" s="90" t="s">
        <v>271</v>
      </c>
      <c r="I239" s="92" t="s">
        <v>376</v>
      </c>
      <c r="J239" s="93">
        <v>45433</v>
      </c>
      <c r="K239" s="92" t="s">
        <v>117</v>
      </c>
      <c r="L239" s="92">
        <v>262009700</v>
      </c>
      <c r="M239" s="93">
        <v>45437</v>
      </c>
      <c r="N239" s="94">
        <v>45436.489583333336</v>
      </c>
      <c r="O239" s="94">
        <v>45436.489583333336</v>
      </c>
      <c r="P239" s="94">
        <v>45436.493055555555</v>
      </c>
      <c r="Q239" s="94">
        <v>45436.697916666664</v>
      </c>
      <c r="R239" s="114" t="s">
        <v>118</v>
      </c>
      <c r="S239" s="114">
        <v>45436.864583333336</v>
      </c>
      <c r="T239" s="114"/>
      <c r="U239" s="114"/>
      <c r="V239" s="149">
        <f t="shared" si="94"/>
        <v>0.20833333332848269</v>
      </c>
      <c r="W239" s="95">
        <v>0.20833333333333334</v>
      </c>
      <c r="X239" s="95" t="str">
        <f t="shared" si="95"/>
        <v>00:00</v>
      </c>
      <c r="Y239" s="96">
        <v>0</v>
      </c>
      <c r="Z239" s="96">
        <v>58</v>
      </c>
      <c r="AA239" s="96">
        <f t="shared" si="106"/>
        <v>58</v>
      </c>
      <c r="AB239" s="97">
        <f t="shared" si="107"/>
        <v>0</v>
      </c>
      <c r="AC239" s="97">
        <f t="shared" si="108"/>
        <v>3928.7699999999995</v>
      </c>
      <c r="AD239" s="98">
        <v>3928.77</v>
      </c>
      <c r="AE239" s="98">
        <v>4014.1</v>
      </c>
      <c r="AF239" s="98">
        <v>4017.6</v>
      </c>
      <c r="AG239" s="98">
        <f t="shared" si="109"/>
        <v>88.829999999999927</v>
      </c>
      <c r="AH239" s="99">
        <v>1484</v>
      </c>
      <c r="AI239" s="100">
        <f t="shared" si="110"/>
        <v>5962118.3999999994</v>
      </c>
      <c r="AJ239" s="100">
        <f t="shared" si="118"/>
        <v>0</v>
      </c>
      <c r="AK239" s="100">
        <v>0</v>
      </c>
      <c r="AL239" s="100">
        <v>24140</v>
      </c>
      <c r="AM239" s="100">
        <v>0</v>
      </c>
      <c r="AN239" s="100">
        <v>0</v>
      </c>
      <c r="AO239" s="100">
        <v>0</v>
      </c>
      <c r="AP239" s="100">
        <f t="shared" si="104"/>
        <v>299313</v>
      </c>
      <c r="AQ239" s="101">
        <f t="shared" si="96"/>
        <v>6285572</v>
      </c>
      <c r="AR239" s="101">
        <v>0</v>
      </c>
      <c r="AS239" s="101">
        <v>0</v>
      </c>
      <c r="AT239" s="102" t="s">
        <v>33</v>
      </c>
      <c r="AU239" s="109"/>
      <c r="AV239" s="100">
        <f>4.23-3.23</f>
        <v>1.0000000000000004</v>
      </c>
      <c r="AW239" s="105"/>
      <c r="AX239" s="106">
        <f t="shared" si="111"/>
        <v>2.2110215053763422</v>
      </c>
      <c r="AY239" s="101">
        <f t="shared" si="112"/>
        <v>131824</v>
      </c>
      <c r="AZ239" s="107"/>
      <c r="BA239" s="94">
        <v>45436.489583333336</v>
      </c>
      <c r="BB239" s="94">
        <v>45436.493055555555</v>
      </c>
      <c r="BC239" s="94">
        <v>45436.704861111109</v>
      </c>
      <c r="BD239" s="94">
        <v>45436.857638888891</v>
      </c>
      <c r="BE239" s="95">
        <f t="shared" si="113"/>
        <v>0.36805555555474712</v>
      </c>
      <c r="BF239" s="95">
        <v>4.3749999999999997E-2</v>
      </c>
      <c r="BG239" s="95">
        <v>0.19444444444444445</v>
      </c>
      <c r="BH239" s="95">
        <f t="shared" si="114"/>
        <v>3.4722222189884633E-3</v>
      </c>
      <c r="BI239" s="95">
        <f t="shared" si="114"/>
        <v>0.21180555555474712</v>
      </c>
      <c r="BJ239" s="95">
        <f t="shared" si="114"/>
        <v>0.15277777778101154</v>
      </c>
      <c r="BK239" s="95">
        <f t="shared" si="115"/>
        <v>0.36458333333575865</v>
      </c>
      <c r="BL239" s="95">
        <f t="shared" si="116"/>
        <v>0.12638888889131419</v>
      </c>
      <c r="BM239" s="95">
        <f t="shared" si="117"/>
        <v>0.15972222222141377</v>
      </c>
      <c r="BN239" s="110"/>
    </row>
    <row r="240" spans="1:66" s="8" customFormat="1" ht="12.75" customHeight="1" x14ac:dyDescent="0.25">
      <c r="A240" s="90">
        <v>202</v>
      </c>
      <c r="B240" s="90">
        <v>99</v>
      </c>
      <c r="C240" s="90">
        <v>13</v>
      </c>
      <c r="D240" s="90" t="s">
        <v>148</v>
      </c>
      <c r="E240" s="91" t="s">
        <v>340</v>
      </c>
      <c r="F240" s="90" t="s">
        <v>16</v>
      </c>
      <c r="G240" s="90" t="s">
        <v>17</v>
      </c>
      <c r="H240" s="90" t="s">
        <v>150</v>
      </c>
      <c r="I240" s="92" t="s">
        <v>377</v>
      </c>
      <c r="J240" s="93">
        <v>45434</v>
      </c>
      <c r="K240" s="92" t="s">
        <v>122</v>
      </c>
      <c r="L240" s="92">
        <v>461000254</v>
      </c>
      <c r="M240" s="93">
        <v>45437</v>
      </c>
      <c r="N240" s="94">
        <v>45436.8125</v>
      </c>
      <c r="O240" s="94">
        <v>45436.8125</v>
      </c>
      <c r="P240" s="94">
        <v>45436.815972222219</v>
      </c>
      <c r="Q240" s="94">
        <v>45436.993055555555</v>
      </c>
      <c r="R240" s="114" t="s">
        <v>118</v>
      </c>
      <c r="S240" s="114" t="s">
        <v>118</v>
      </c>
      <c r="T240" s="114"/>
      <c r="U240" s="114"/>
      <c r="V240" s="149">
        <f t="shared" si="94"/>
        <v>0.18055555555474712</v>
      </c>
      <c r="W240" s="95">
        <v>0.20833333333333334</v>
      </c>
      <c r="X240" s="95" t="str">
        <f t="shared" si="95"/>
        <v>00:00</v>
      </c>
      <c r="Y240" s="96">
        <v>0</v>
      </c>
      <c r="Z240" s="96">
        <v>58</v>
      </c>
      <c r="AA240" s="96">
        <f t="shared" si="106"/>
        <v>58</v>
      </c>
      <c r="AB240" s="97">
        <f t="shared" si="107"/>
        <v>0</v>
      </c>
      <c r="AC240" s="97">
        <f t="shared" si="108"/>
        <v>3947.5600000000004</v>
      </c>
      <c r="AD240" s="98">
        <v>3947.56</v>
      </c>
      <c r="AE240" s="98">
        <v>4042</v>
      </c>
      <c r="AF240" s="98">
        <v>4042.8</v>
      </c>
      <c r="AG240" s="98">
        <f t="shared" si="109"/>
        <v>95.240000000000236</v>
      </c>
      <c r="AH240" s="99">
        <v>672.5</v>
      </c>
      <c r="AI240" s="100">
        <f t="shared" si="110"/>
        <v>2718783</v>
      </c>
      <c r="AJ240" s="100">
        <f t="shared" si="118"/>
        <v>0</v>
      </c>
      <c r="AK240" s="100">
        <v>0</v>
      </c>
      <c r="AL240" s="100">
        <v>0</v>
      </c>
      <c r="AM240" s="100">
        <v>0</v>
      </c>
      <c r="AN240" s="100">
        <v>0</v>
      </c>
      <c r="AO240" s="100">
        <v>0</v>
      </c>
      <c r="AP240" s="100">
        <f t="shared" si="104"/>
        <v>135940</v>
      </c>
      <c r="AQ240" s="101">
        <f t="shared" si="96"/>
        <v>2854723</v>
      </c>
      <c r="AR240" s="101">
        <v>0</v>
      </c>
      <c r="AS240" s="101">
        <v>0</v>
      </c>
      <c r="AT240" s="102" t="s">
        <v>34</v>
      </c>
      <c r="AU240" s="109" t="s">
        <v>118</v>
      </c>
      <c r="AV240" s="100">
        <v>0</v>
      </c>
      <c r="AW240" s="105"/>
      <c r="AX240" s="106">
        <f t="shared" si="111"/>
        <v>2.3557930147422637</v>
      </c>
      <c r="AY240" s="101">
        <f t="shared" si="112"/>
        <v>64049</v>
      </c>
      <c r="AZ240" s="107"/>
      <c r="BA240" s="94">
        <v>45436.8125</v>
      </c>
      <c r="BB240" s="94">
        <v>45436.815972222219</v>
      </c>
      <c r="BC240" s="94">
        <v>45436.875</v>
      </c>
      <c r="BD240" s="94">
        <v>45437.011805555558</v>
      </c>
      <c r="BE240" s="95">
        <f t="shared" si="113"/>
        <v>0.1993055555576575</v>
      </c>
      <c r="BF240" s="95">
        <v>2.1527777777777778E-2</v>
      </c>
      <c r="BG240" s="95">
        <v>5.9027777777777776E-2</v>
      </c>
      <c r="BH240" s="95">
        <f t="shared" si="114"/>
        <v>3.4722222189884633E-3</v>
      </c>
      <c r="BI240" s="95">
        <f t="shared" si="114"/>
        <v>5.9027777781011537E-2</v>
      </c>
      <c r="BJ240" s="95">
        <f t="shared" si="114"/>
        <v>0.1368055555576575</v>
      </c>
      <c r="BK240" s="95">
        <f t="shared" si="115"/>
        <v>0.19583333333866904</v>
      </c>
      <c r="BL240" s="95">
        <f t="shared" si="116"/>
        <v>0.11527777778311347</v>
      </c>
      <c r="BM240" s="95" t="str">
        <f t="shared" si="117"/>
        <v>00:00</v>
      </c>
      <c r="BN240" s="110"/>
    </row>
    <row r="241" spans="1:66" s="8" customFormat="1" ht="12.75" customHeight="1" x14ac:dyDescent="0.25">
      <c r="A241" s="148">
        <v>203</v>
      </c>
      <c r="B241" s="90">
        <v>100</v>
      </c>
      <c r="C241" s="90">
        <v>7</v>
      </c>
      <c r="D241" s="90" t="s">
        <v>113</v>
      </c>
      <c r="E241" s="91" t="s">
        <v>299</v>
      </c>
      <c r="F241" s="90" t="s">
        <v>7</v>
      </c>
      <c r="G241" s="90" t="s">
        <v>8</v>
      </c>
      <c r="H241" s="90" t="s">
        <v>300</v>
      </c>
      <c r="I241" s="92" t="s">
        <v>378</v>
      </c>
      <c r="J241" s="93">
        <v>45434</v>
      </c>
      <c r="K241" s="92" t="s">
        <v>117</v>
      </c>
      <c r="L241" s="92">
        <v>282000933</v>
      </c>
      <c r="M241" s="93">
        <v>45437</v>
      </c>
      <c r="N241" s="94">
        <v>45437.020833333336</v>
      </c>
      <c r="O241" s="94">
        <v>45437.020833333336</v>
      </c>
      <c r="P241" s="94">
        <v>45437.024305555555</v>
      </c>
      <c r="Q241" s="94">
        <v>45437.208333333336</v>
      </c>
      <c r="R241" s="114" t="s">
        <v>118</v>
      </c>
      <c r="S241" s="114" t="s">
        <v>118</v>
      </c>
      <c r="T241" s="114"/>
      <c r="U241" s="114"/>
      <c r="V241" s="95">
        <f t="shared" si="94"/>
        <v>0.1875</v>
      </c>
      <c r="W241" s="95">
        <v>0.20833333333333334</v>
      </c>
      <c r="X241" s="95" t="str">
        <f t="shared" si="95"/>
        <v>00:00</v>
      </c>
      <c r="Y241" s="96">
        <v>0</v>
      </c>
      <c r="Z241" s="96">
        <v>58</v>
      </c>
      <c r="AA241" s="96">
        <f t="shared" si="106"/>
        <v>58</v>
      </c>
      <c r="AB241" s="97">
        <f t="shared" si="107"/>
        <v>0</v>
      </c>
      <c r="AC241" s="97">
        <f t="shared" si="108"/>
        <v>3892.2999999999997</v>
      </c>
      <c r="AD241" s="98">
        <v>3892.3</v>
      </c>
      <c r="AE241" s="98">
        <v>4027.7</v>
      </c>
      <c r="AF241" s="98">
        <v>4027.8</v>
      </c>
      <c r="AG241" s="98">
        <f t="shared" si="109"/>
        <v>135.5</v>
      </c>
      <c r="AH241" s="99">
        <v>1484</v>
      </c>
      <c r="AI241" s="100">
        <f t="shared" si="110"/>
        <v>5977255.2000000002</v>
      </c>
      <c r="AJ241" s="100">
        <f t="shared" si="118"/>
        <v>0</v>
      </c>
      <c r="AK241" s="100">
        <v>0</v>
      </c>
      <c r="AL241" s="100">
        <v>0</v>
      </c>
      <c r="AM241" s="100">
        <v>0</v>
      </c>
      <c r="AN241" s="100">
        <v>0</v>
      </c>
      <c r="AO241" s="100">
        <v>0</v>
      </c>
      <c r="AP241" s="100">
        <f t="shared" si="104"/>
        <v>298863</v>
      </c>
      <c r="AQ241" s="101">
        <f t="shared" si="96"/>
        <v>6276119</v>
      </c>
      <c r="AR241" s="101">
        <v>0</v>
      </c>
      <c r="AS241" s="101">
        <v>0</v>
      </c>
      <c r="AT241" s="102" t="s">
        <v>34</v>
      </c>
      <c r="AU241" s="109" t="s">
        <v>118</v>
      </c>
      <c r="AV241" s="100">
        <v>0</v>
      </c>
      <c r="AW241" s="105"/>
      <c r="AX241" s="106">
        <f t="shared" si="111"/>
        <v>3.3641193703758878</v>
      </c>
      <c r="AY241" s="101">
        <f t="shared" si="112"/>
        <v>201082</v>
      </c>
      <c r="AZ241" s="107"/>
      <c r="BA241" s="94">
        <v>45437.020833333336</v>
      </c>
      <c r="BB241" s="94">
        <v>45437.024305555555</v>
      </c>
      <c r="BC241" s="94">
        <v>45437.041666666664</v>
      </c>
      <c r="BD241" s="94">
        <v>45437.168749999997</v>
      </c>
      <c r="BE241" s="95">
        <f t="shared" si="113"/>
        <v>0.14791666666133096</v>
      </c>
      <c r="BF241" s="95">
        <v>1.7361111111111112E-2</v>
      </c>
      <c r="BG241" s="95">
        <v>0</v>
      </c>
      <c r="BH241" s="95">
        <f t="shared" si="114"/>
        <v>3.4722222189884633E-3</v>
      </c>
      <c r="BI241" s="95">
        <f t="shared" si="114"/>
        <v>1.7361111109494232E-2</v>
      </c>
      <c r="BJ241" s="95">
        <f t="shared" si="114"/>
        <v>0.12708333333284827</v>
      </c>
      <c r="BK241" s="95">
        <f t="shared" si="115"/>
        <v>0.1444444444423425</v>
      </c>
      <c r="BL241" s="95">
        <f t="shared" si="116"/>
        <v>0.1270833333312314</v>
      </c>
      <c r="BM241" s="95" t="str">
        <f t="shared" si="117"/>
        <v>00:00</v>
      </c>
      <c r="BN241" s="110"/>
    </row>
    <row r="242" spans="1:66" s="8" customFormat="1" ht="12.75" customHeight="1" x14ac:dyDescent="0.25">
      <c r="A242" s="115">
        <v>204</v>
      </c>
      <c r="B242" s="115">
        <v>101</v>
      </c>
      <c r="C242" s="90">
        <v>14</v>
      </c>
      <c r="D242" s="90" t="s">
        <v>148</v>
      </c>
      <c r="E242" s="91" t="s">
        <v>340</v>
      </c>
      <c r="F242" s="115" t="s">
        <v>16</v>
      </c>
      <c r="G242" s="115" t="s">
        <v>17</v>
      </c>
      <c r="H242" s="115" t="s">
        <v>150</v>
      </c>
      <c r="I242" s="116" t="s">
        <v>379</v>
      </c>
      <c r="J242" s="117">
        <v>45436</v>
      </c>
      <c r="K242" s="116" t="s">
        <v>122</v>
      </c>
      <c r="L242" s="116">
        <v>461000255</v>
      </c>
      <c r="M242" s="117">
        <v>45437</v>
      </c>
      <c r="N242" s="118">
        <v>45437.145833333336</v>
      </c>
      <c r="O242" s="118">
        <v>45437.145833333336</v>
      </c>
      <c r="P242" s="118">
        <v>45437.149305555555</v>
      </c>
      <c r="Q242" s="118">
        <v>45437.34375</v>
      </c>
      <c r="R242" s="118" t="s">
        <v>118</v>
      </c>
      <c r="S242" s="118" t="s">
        <v>118</v>
      </c>
      <c r="T242" s="118"/>
      <c r="U242" s="118"/>
      <c r="V242" s="119">
        <f t="shared" si="94"/>
        <v>0.19791666666424135</v>
      </c>
      <c r="W242" s="119">
        <v>0.20833333333333334</v>
      </c>
      <c r="X242" s="119" t="str">
        <f t="shared" si="95"/>
        <v>00:00</v>
      </c>
      <c r="Y242" s="96">
        <v>0</v>
      </c>
      <c r="Z242" s="96">
        <v>13</v>
      </c>
      <c r="AA242" s="96">
        <f t="shared" si="106"/>
        <v>13</v>
      </c>
      <c r="AB242" s="97">
        <f t="shared" si="107"/>
        <v>0</v>
      </c>
      <c r="AC242" s="97">
        <f t="shared" si="108"/>
        <v>840.98</v>
      </c>
      <c r="AD242" s="98">
        <f>4074.93-3233.95</f>
        <v>840.98</v>
      </c>
      <c r="AE242" s="98">
        <f>4123.1-3214.2</f>
        <v>908.90000000000055</v>
      </c>
      <c r="AF242" s="98">
        <f>4131.6-3221.1</f>
        <v>910.50000000000045</v>
      </c>
      <c r="AG242" s="98">
        <f t="shared" si="109"/>
        <v>69.520000000000437</v>
      </c>
      <c r="AH242" s="99">
        <v>672.5</v>
      </c>
      <c r="AI242" s="100">
        <f t="shared" si="110"/>
        <v>612311.25000000035</v>
      </c>
      <c r="AJ242" s="100">
        <f t="shared" si="118"/>
        <v>0</v>
      </c>
      <c r="AK242" s="100">
        <v>0</v>
      </c>
      <c r="AL242" s="100">
        <v>0</v>
      </c>
      <c r="AM242" s="100">
        <v>0</v>
      </c>
      <c r="AN242" s="100">
        <v>0</v>
      </c>
      <c r="AO242" s="100">
        <v>0</v>
      </c>
      <c r="AP242" s="100">
        <f t="shared" si="104"/>
        <v>30616</v>
      </c>
      <c r="AQ242" s="101">
        <f>ROUNDUP(SUM(AI242:AP242),0)-1</f>
        <v>642927</v>
      </c>
      <c r="AR242" s="101">
        <v>0</v>
      </c>
      <c r="AS242" s="101">
        <v>0</v>
      </c>
      <c r="AT242" s="137" t="s">
        <v>33</v>
      </c>
      <c r="AU242" s="120" t="s">
        <v>118</v>
      </c>
      <c r="AV242" s="121">
        <v>0</v>
      </c>
      <c r="AW242" s="139"/>
      <c r="AX242" s="140">
        <f>IFERROR(((AG242+AG243)/(AF242+AF243))*100, "")</f>
        <v>1.3716235840836606</v>
      </c>
      <c r="AY242" s="141">
        <f>ROUNDUP((AG242+AG243)*AH242,0)</f>
        <v>38111</v>
      </c>
      <c r="AZ242" s="107"/>
      <c r="BA242" s="118">
        <v>45437.145833333336</v>
      </c>
      <c r="BB242" s="118">
        <v>45437.149305555555</v>
      </c>
      <c r="BC242" s="118">
        <v>45437.190972222219</v>
      </c>
      <c r="BD242" s="118">
        <v>45437.324999999997</v>
      </c>
      <c r="BE242" s="119">
        <f t="shared" si="113"/>
        <v>0.17916666666133096</v>
      </c>
      <c r="BF242" s="119">
        <v>0</v>
      </c>
      <c r="BG242" s="119">
        <v>4.3749999999999997E-2</v>
      </c>
      <c r="BH242" s="119">
        <f t="shared" si="114"/>
        <v>3.4722222189884633E-3</v>
      </c>
      <c r="BI242" s="119">
        <f t="shared" si="114"/>
        <v>4.1666666664241347E-2</v>
      </c>
      <c r="BJ242" s="119">
        <f t="shared" si="114"/>
        <v>0.13402777777810115</v>
      </c>
      <c r="BK242" s="119">
        <f t="shared" si="115"/>
        <v>0.1756944444423425</v>
      </c>
      <c r="BL242" s="119">
        <f t="shared" si="116"/>
        <v>0.13194444444234249</v>
      </c>
      <c r="BM242" s="119" t="str">
        <f t="shared" si="117"/>
        <v>00:00</v>
      </c>
      <c r="BN242" s="110" t="s">
        <v>380</v>
      </c>
    </row>
    <row r="243" spans="1:66" s="8" customFormat="1" ht="12.75" customHeight="1" x14ac:dyDescent="0.25">
      <c r="A243" s="122"/>
      <c r="B243" s="122"/>
      <c r="C243" s="90">
        <v>1</v>
      </c>
      <c r="D243" s="90" t="s">
        <v>148</v>
      </c>
      <c r="E243" s="91" t="s">
        <v>381</v>
      </c>
      <c r="F243" s="122"/>
      <c r="G243" s="122"/>
      <c r="H243" s="122"/>
      <c r="I243" s="123"/>
      <c r="J243" s="124"/>
      <c r="K243" s="123"/>
      <c r="L243" s="123"/>
      <c r="M243" s="124"/>
      <c r="N243" s="125"/>
      <c r="O243" s="125"/>
      <c r="P243" s="125"/>
      <c r="Q243" s="125"/>
      <c r="R243" s="125"/>
      <c r="S243" s="125"/>
      <c r="T243" s="125"/>
      <c r="U243" s="125"/>
      <c r="V243" s="126"/>
      <c r="W243" s="126"/>
      <c r="X243" s="126"/>
      <c r="Y243" s="96">
        <v>0</v>
      </c>
      <c r="Z243" s="96">
        <v>46</v>
      </c>
      <c r="AA243" s="96">
        <f t="shared" si="106"/>
        <v>46</v>
      </c>
      <c r="AB243" s="97">
        <f t="shared" si="107"/>
        <v>0</v>
      </c>
      <c r="AC243" s="97">
        <f t="shared" si="108"/>
        <v>3233.9499999999994</v>
      </c>
      <c r="AD243" s="98">
        <v>3233.95</v>
      </c>
      <c r="AE243" s="98">
        <v>3214.2</v>
      </c>
      <c r="AF243" s="98">
        <v>3221.1</v>
      </c>
      <c r="AG243" s="98">
        <f t="shared" si="109"/>
        <v>-12.849999999999909</v>
      </c>
      <c r="AH243" s="99">
        <v>672.5</v>
      </c>
      <c r="AI243" s="100">
        <f t="shared" si="110"/>
        <v>2166189.75</v>
      </c>
      <c r="AJ243" s="100">
        <f t="shared" si="118"/>
        <v>0</v>
      </c>
      <c r="AK243" s="100">
        <v>0</v>
      </c>
      <c r="AL243" s="100">
        <v>0</v>
      </c>
      <c r="AM243" s="100">
        <v>0</v>
      </c>
      <c r="AN243" s="100">
        <v>0</v>
      </c>
      <c r="AO243" s="100">
        <v>0</v>
      </c>
      <c r="AP243" s="100">
        <f t="shared" si="104"/>
        <v>108310</v>
      </c>
      <c r="AQ243" s="101">
        <f t="shared" ref="AQ243:AQ258" si="119">ROUNDUP(SUM(AI243:AP243),0)</f>
        <v>2274500</v>
      </c>
      <c r="AR243" s="101">
        <v>0</v>
      </c>
      <c r="AS243" s="101">
        <v>0</v>
      </c>
      <c r="AT243" s="138"/>
      <c r="AU243" s="127"/>
      <c r="AV243" s="128"/>
      <c r="AW243" s="143"/>
      <c r="AX243" s="144"/>
      <c r="AY243" s="145"/>
      <c r="AZ243" s="107"/>
      <c r="BA243" s="125"/>
      <c r="BB243" s="125"/>
      <c r="BC243" s="125"/>
      <c r="BD243" s="125"/>
      <c r="BE243" s="126"/>
      <c r="BF243" s="126"/>
      <c r="BG243" s="126"/>
      <c r="BH243" s="126"/>
      <c r="BI243" s="126"/>
      <c r="BJ243" s="126"/>
      <c r="BK243" s="126"/>
      <c r="BL243" s="126"/>
      <c r="BM243" s="126"/>
      <c r="BN243" s="110" t="s">
        <v>382</v>
      </c>
    </row>
    <row r="244" spans="1:66" s="8" customFormat="1" ht="12.75" customHeight="1" x14ac:dyDescent="0.25">
      <c r="A244" s="150">
        <v>205</v>
      </c>
      <c r="B244" s="150">
        <v>102</v>
      </c>
      <c r="C244" s="90">
        <v>15</v>
      </c>
      <c r="D244" s="90" t="s">
        <v>113</v>
      </c>
      <c r="E244" s="91" t="s">
        <v>137</v>
      </c>
      <c r="F244" s="90" t="s">
        <v>27</v>
      </c>
      <c r="G244" s="90" t="s">
        <v>12</v>
      </c>
      <c r="H244" s="90" t="s">
        <v>115</v>
      </c>
      <c r="I244" s="135" t="s">
        <v>383</v>
      </c>
      <c r="J244" s="151">
        <v>45433</v>
      </c>
      <c r="K244" s="135" t="s">
        <v>117</v>
      </c>
      <c r="L244" s="135">
        <v>282000934</v>
      </c>
      <c r="M244" s="151">
        <v>45438</v>
      </c>
      <c r="N244" s="152">
        <v>45437.40625</v>
      </c>
      <c r="O244" s="152">
        <v>45437.40625</v>
      </c>
      <c r="P244" s="152">
        <v>45437.447916666664</v>
      </c>
      <c r="Q244" s="152">
        <v>45437.697916666664</v>
      </c>
      <c r="R244" s="114" t="s">
        <v>118</v>
      </c>
      <c r="S244" s="114">
        <v>45437.78125</v>
      </c>
      <c r="T244" s="114"/>
      <c r="U244" s="114"/>
      <c r="V244" s="95">
        <f t="shared" ref="V244:V259" si="120">+Q244-O244</f>
        <v>0.29166666666424135</v>
      </c>
      <c r="W244" s="95">
        <v>0.20833333333333334</v>
      </c>
      <c r="X244" s="95">
        <f t="shared" ref="X244:X259" si="121">IF(VALUE(V244)&lt;=VALUE("05:00"),"00:00",VALUE(V244)-VALUE("05:00"))</f>
        <v>8.3333333330908005E-2</v>
      </c>
      <c r="Y244" s="96">
        <v>0</v>
      </c>
      <c r="Z244" s="96">
        <v>59</v>
      </c>
      <c r="AA244" s="96">
        <f t="shared" si="106"/>
        <v>59</v>
      </c>
      <c r="AB244" s="97">
        <f t="shared" si="107"/>
        <v>0</v>
      </c>
      <c r="AC244" s="97">
        <f t="shared" si="108"/>
        <v>3990.29</v>
      </c>
      <c r="AD244" s="98">
        <v>3990.29</v>
      </c>
      <c r="AE244" s="98">
        <v>4070.6</v>
      </c>
      <c r="AF244" s="98">
        <v>4075.4</v>
      </c>
      <c r="AG244" s="98">
        <f t="shared" si="109"/>
        <v>85.110000000000127</v>
      </c>
      <c r="AH244" s="99">
        <v>1586.7</v>
      </c>
      <c r="AI244" s="100">
        <f t="shared" si="110"/>
        <v>6466437.1800000006</v>
      </c>
      <c r="AJ244" s="100">
        <f t="shared" si="118"/>
        <v>0</v>
      </c>
      <c r="AK244" s="100">
        <v>0</v>
      </c>
      <c r="AL244" s="100">
        <v>24290</v>
      </c>
      <c r="AM244" s="100">
        <v>0</v>
      </c>
      <c r="AN244" s="100">
        <v>0</v>
      </c>
      <c r="AO244" s="100">
        <f>IFERROR(AF244*20+(((AJ244/AH244)/2)*20),0)</f>
        <v>81508</v>
      </c>
      <c r="AP244" s="100">
        <f t="shared" si="104"/>
        <v>328612</v>
      </c>
      <c r="AQ244" s="101">
        <f t="shared" si="119"/>
        <v>6900848</v>
      </c>
      <c r="AR244" s="101">
        <v>0</v>
      </c>
      <c r="AS244" s="101">
        <v>0</v>
      </c>
      <c r="AT244" s="102" t="s">
        <v>34</v>
      </c>
      <c r="AU244" s="109"/>
      <c r="AV244" s="100">
        <f>5.27-4.27</f>
        <v>1</v>
      </c>
      <c r="AW244" s="105"/>
      <c r="AX244" s="106">
        <f t="shared" ref="AX244:AX258" si="122">IFERROR((AG244/AF244)*100, "")</f>
        <v>2.0883839623104512</v>
      </c>
      <c r="AY244" s="101">
        <f t="shared" ref="AY244:AY258" si="123">ROUNDUP(AG244*AH244,0)</f>
        <v>135045</v>
      </c>
      <c r="AZ244" s="107"/>
      <c r="BA244" s="94">
        <v>45437.40625</v>
      </c>
      <c r="BB244" s="94">
        <v>45437.447916666664</v>
      </c>
      <c r="BC244" s="94">
        <v>45437.454861111109</v>
      </c>
      <c r="BD244" s="94">
        <v>45437.807638888888</v>
      </c>
      <c r="BE244" s="95">
        <f t="shared" ref="BE244:BE252" si="124">+BD244-BA244</f>
        <v>0.40138888888759539</v>
      </c>
      <c r="BF244" s="95">
        <v>4.4444444444444446E-2</v>
      </c>
      <c r="BG244" s="95">
        <v>0.18888888888888888</v>
      </c>
      <c r="BH244" s="95">
        <f t="shared" ref="BH244:BJ252" si="125">+BB244-BA244</f>
        <v>4.1666666664241347E-2</v>
      </c>
      <c r="BI244" s="95">
        <f t="shared" si="125"/>
        <v>6.9444444452528842E-3</v>
      </c>
      <c r="BJ244" s="95">
        <f t="shared" si="125"/>
        <v>0.35277777777810115</v>
      </c>
      <c r="BK244" s="95">
        <f t="shared" ref="BK244:BK252" si="126">+BI244+BJ244</f>
        <v>0.35972222222335404</v>
      </c>
      <c r="BL244" s="95">
        <f t="shared" ref="BL244:BL252" si="127">+BE244-BH244-BF244-BG244</f>
        <v>0.1263888888900207</v>
      </c>
      <c r="BM244" s="95">
        <f t="shared" ref="BM244:BM252" si="128">IF(VALUE(BE244)&lt;=VALUE("05:00"),"00:00",VALUE(BE244)-VALUE("05:00"))</f>
        <v>0.19305555555426204</v>
      </c>
      <c r="BN244" s="110"/>
    </row>
    <row r="245" spans="1:66" s="8" customFormat="1" ht="12.75" customHeight="1" x14ac:dyDescent="0.25">
      <c r="A245" s="150">
        <v>206</v>
      </c>
      <c r="B245" s="150">
        <v>103</v>
      </c>
      <c r="C245" s="90">
        <v>2</v>
      </c>
      <c r="D245" s="90" t="s">
        <v>148</v>
      </c>
      <c r="E245" s="91" t="s">
        <v>381</v>
      </c>
      <c r="F245" s="90" t="s">
        <v>16</v>
      </c>
      <c r="G245" s="90" t="s">
        <v>17</v>
      </c>
      <c r="H245" s="90" t="s">
        <v>150</v>
      </c>
      <c r="I245" s="135" t="s">
        <v>384</v>
      </c>
      <c r="J245" s="151">
        <v>45436</v>
      </c>
      <c r="K245" s="135" t="s">
        <v>122</v>
      </c>
      <c r="L245" s="135">
        <v>461000256</v>
      </c>
      <c r="M245" s="151">
        <v>45438</v>
      </c>
      <c r="N245" s="152">
        <v>45437.614583333336</v>
      </c>
      <c r="O245" s="152">
        <v>45437.614583333336</v>
      </c>
      <c r="P245" s="152">
        <v>45437.618055555555</v>
      </c>
      <c r="Q245" s="152">
        <v>45437.822916666664</v>
      </c>
      <c r="R245" s="114" t="s">
        <v>118</v>
      </c>
      <c r="S245" s="114">
        <v>45437.96875</v>
      </c>
      <c r="T245" s="114"/>
      <c r="U245" s="114"/>
      <c r="V245" s="95">
        <f t="shared" si="120"/>
        <v>0.20833333332848269</v>
      </c>
      <c r="W245" s="95">
        <v>0.20833333333333334</v>
      </c>
      <c r="X245" s="95" t="str">
        <f t="shared" si="121"/>
        <v>00:00</v>
      </c>
      <c r="Y245" s="96">
        <v>0</v>
      </c>
      <c r="Z245" s="96">
        <v>59</v>
      </c>
      <c r="AA245" s="96">
        <f t="shared" si="106"/>
        <v>59</v>
      </c>
      <c r="AB245" s="97">
        <f t="shared" si="107"/>
        <v>0</v>
      </c>
      <c r="AC245" s="97">
        <f t="shared" si="108"/>
        <v>4074.5700000000006</v>
      </c>
      <c r="AD245" s="98">
        <v>4074.57</v>
      </c>
      <c r="AE245" s="98">
        <v>4106.2</v>
      </c>
      <c r="AF245" s="98">
        <v>4115.8</v>
      </c>
      <c r="AG245" s="98">
        <f t="shared" si="109"/>
        <v>41.230000000000018</v>
      </c>
      <c r="AH245" s="99">
        <v>672.5</v>
      </c>
      <c r="AI245" s="100">
        <f t="shared" si="110"/>
        <v>2767875.5</v>
      </c>
      <c r="AJ245" s="100">
        <f t="shared" si="118"/>
        <v>0</v>
      </c>
      <c r="AK245" s="100">
        <v>0</v>
      </c>
      <c r="AL245" s="100">
        <v>24290</v>
      </c>
      <c r="AM245" s="100">
        <v>0</v>
      </c>
      <c r="AN245" s="100">
        <v>0</v>
      </c>
      <c r="AO245" s="100">
        <v>0</v>
      </c>
      <c r="AP245" s="100">
        <f t="shared" si="104"/>
        <v>139609</v>
      </c>
      <c r="AQ245" s="101">
        <f t="shared" si="119"/>
        <v>2931775</v>
      </c>
      <c r="AR245" s="101">
        <v>0</v>
      </c>
      <c r="AS245" s="101">
        <v>0</v>
      </c>
      <c r="AT245" s="102" t="s">
        <v>34</v>
      </c>
      <c r="AU245" s="109"/>
      <c r="AV245" s="100">
        <f>11.34-8.34</f>
        <v>3</v>
      </c>
      <c r="AW245" s="105"/>
      <c r="AX245" s="106">
        <f t="shared" si="122"/>
        <v>1.0017493561397546</v>
      </c>
      <c r="AY245" s="101">
        <f t="shared" si="123"/>
        <v>27728</v>
      </c>
      <c r="AZ245" s="107"/>
      <c r="BA245" s="94">
        <v>45437.614583333336</v>
      </c>
      <c r="BB245" s="94">
        <v>45437.618055555555</v>
      </c>
      <c r="BC245" s="94">
        <v>45437.829861111109</v>
      </c>
      <c r="BD245" s="94">
        <v>45437.961805555555</v>
      </c>
      <c r="BE245" s="95">
        <f t="shared" si="124"/>
        <v>0.34722222221898846</v>
      </c>
      <c r="BF245" s="95">
        <v>0</v>
      </c>
      <c r="BG245" s="95">
        <v>0.21180555555555555</v>
      </c>
      <c r="BH245" s="95">
        <f t="shared" si="125"/>
        <v>3.4722222189884633E-3</v>
      </c>
      <c r="BI245" s="95">
        <f t="shared" si="125"/>
        <v>0.21180555555474712</v>
      </c>
      <c r="BJ245" s="95">
        <f t="shared" si="125"/>
        <v>0.13194444444525288</v>
      </c>
      <c r="BK245" s="95">
        <f t="shared" si="126"/>
        <v>0.34375</v>
      </c>
      <c r="BL245" s="95">
        <f t="shared" si="127"/>
        <v>0.13194444444444445</v>
      </c>
      <c r="BM245" s="95">
        <f t="shared" si="128"/>
        <v>0.13888888888565512</v>
      </c>
      <c r="BN245" s="110"/>
    </row>
    <row r="246" spans="1:66" s="8" customFormat="1" ht="12.75" customHeight="1" x14ac:dyDescent="0.25">
      <c r="A246" s="150">
        <v>207</v>
      </c>
      <c r="B246" s="150">
        <v>104</v>
      </c>
      <c r="C246" s="90">
        <v>8</v>
      </c>
      <c r="D246" s="90" t="s">
        <v>113</v>
      </c>
      <c r="E246" s="91" t="s">
        <v>296</v>
      </c>
      <c r="F246" s="90" t="s">
        <v>32</v>
      </c>
      <c r="G246" s="90" t="s">
        <v>15</v>
      </c>
      <c r="H246" s="90" t="s">
        <v>146</v>
      </c>
      <c r="I246" s="135" t="s">
        <v>385</v>
      </c>
      <c r="J246" s="151">
        <v>45436</v>
      </c>
      <c r="K246" s="135" t="s">
        <v>117</v>
      </c>
      <c r="L246" s="135">
        <v>261005734</v>
      </c>
      <c r="M246" s="151">
        <v>45438</v>
      </c>
      <c r="N246" s="152">
        <v>45438.020833333336</v>
      </c>
      <c r="O246" s="152">
        <v>45438.020833333336</v>
      </c>
      <c r="P246" s="152">
        <v>45438.024305555555</v>
      </c>
      <c r="Q246" s="152">
        <v>45438.229166666664</v>
      </c>
      <c r="R246" s="114" t="s">
        <v>118</v>
      </c>
      <c r="S246" s="114">
        <v>45438.270833333336</v>
      </c>
      <c r="T246" s="114"/>
      <c r="U246" s="114"/>
      <c r="V246" s="95">
        <f t="shared" si="120"/>
        <v>0.20833333332848269</v>
      </c>
      <c r="W246" s="95">
        <v>0.20833333333333334</v>
      </c>
      <c r="X246" s="95" t="str">
        <f t="shared" si="121"/>
        <v>00:00</v>
      </c>
      <c r="Y246" s="96">
        <v>20</v>
      </c>
      <c r="Z246" s="96">
        <v>39</v>
      </c>
      <c r="AA246" s="96">
        <f t="shared" si="106"/>
        <v>59</v>
      </c>
      <c r="AB246" s="97">
        <f t="shared" si="107"/>
        <v>1337.6169491525422</v>
      </c>
      <c r="AC246" s="97">
        <f t="shared" si="108"/>
        <v>2608.3530508474573</v>
      </c>
      <c r="AD246" s="98">
        <v>3945.97</v>
      </c>
      <c r="AE246" s="98">
        <v>4098.5</v>
      </c>
      <c r="AF246" s="98">
        <v>4099.2</v>
      </c>
      <c r="AG246" s="98">
        <f t="shared" si="109"/>
        <v>153.23000000000002</v>
      </c>
      <c r="AH246" s="99">
        <v>1398.7</v>
      </c>
      <c r="AI246" s="100">
        <f t="shared" si="110"/>
        <v>5733551.04</v>
      </c>
      <c r="AJ246" s="100">
        <f t="shared" si="118"/>
        <v>0</v>
      </c>
      <c r="AK246" s="100">
        <v>0</v>
      </c>
      <c r="AL246" s="100">
        <v>0</v>
      </c>
      <c r="AM246" s="100">
        <v>0</v>
      </c>
      <c r="AN246" s="100">
        <v>0</v>
      </c>
      <c r="AO246" s="100">
        <v>0</v>
      </c>
      <c r="AP246" s="100">
        <f t="shared" ref="AP246:AP258" si="129">ROUNDUP(SUM(AI246:AO246)*5%,0)</f>
        <v>286678</v>
      </c>
      <c r="AQ246" s="101">
        <f t="shared" si="119"/>
        <v>6020230</v>
      </c>
      <c r="AR246" s="101">
        <v>0</v>
      </c>
      <c r="AS246" s="101">
        <v>0</v>
      </c>
      <c r="AT246" s="102" t="s">
        <v>33</v>
      </c>
      <c r="AU246" s="109" t="s">
        <v>118</v>
      </c>
      <c r="AV246" s="100">
        <v>0</v>
      </c>
      <c r="AW246" s="105"/>
      <c r="AX246" s="106">
        <f t="shared" si="122"/>
        <v>3.7380464480874322</v>
      </c>
      <c r="AY246" s="101">
        <f t="shared" si="123"/>
        <v>214323</v>
      </c>
      <c r="AZ246" s="107"/>
      <c r="BA246" s="94">
        <v>45438.020833333336</v>
      </c>
      <c r="BB246" s="94">
        <v>45438.024305555555</v>
      </c>
      <c r="BC246" s="94">
        <v>45438.166666666664</v>
      </c>
      <c r="BD246" s="94">
        <v>45438.272222222222</v>
      </c>
      <c r="BE246" s="95">
        <f t="shared" si="124"/>
        <v>0.25138888888614019</v>
      </c>
      <c r="BF246" s="95">
        <v>0.12847222222222221</v>
      </c>
      <c r="BG246" s="95">
        <v>4.2361111111111113E-2</v>
      </c>
      <c r="BH246" s="95">
        <f t="shared" si="125"/>
        <v>3.4722222189884633E-3</v>
      </c>
      <c r="BI246" s="95">
        <f t="shared" si="125"/>
        <v>0.14236111110949423</v>
      </c>
      <c r="BJ246" s="95">
        <f t="shared" si="125"/>
        <v>0.1055555555576575</v>
      </c>
      <c r="BK246" s="95">
        <f t="shared" si="126"/>
        <v>0.24791666666715173</v>
      </c>
      <c r="BL246" s="95">
        <f t="shared" si="127"/>
        <v>7.7083333333818407E-2</v>
      </c>
      <c r="BM246" s="95">
        <f t="shared" si="128"/>
        <v>4.3055555552806851E-2</v>
      </c>
      <c r="BN246" s="110"/>
    </row>
    <row r="247" spans="1:66" s="8" customFormat="1" ht="12.75" customHeight="1" x14ac:dyDescent="0.25">
      <c r="A247" s="150">
        <v>208</v>
      </c>
      <c r="B247" s="150">
        <v>105</v>
      </c>
      <c r="C247" s="90">
        <v>3</v>
      </c>
      <c r="D247" s="90" t="s">
        <v>148</v>
      </c>
      <c r="E247" s="91" t="s">
        <v>381</v>
      </c>
      <c r="F247" s="90" t="s">
        <v>16</v>
      </c>
      <c r="G247" s="90" t="s">
        <v>17</v>
      </c>
      <c r="H247" s="90" t="s">
        <v>150</v>
      </c>
      <c r="I247" s="135" t="s">
        <v>386</v>
      </c>
      <c r="J247" s="151">
        <v>45436</v>
      </c>
      <c r="K247" s="135" t="s">
        <v>122</v>
      </c>
      <c r="L247" s="135">
        <v>461000257</v>
      </c>
      <c r="M247" s="151">
        <v>45438</v>
      </c>
      <c r="N247" s="152">
        <v>45438.208333333336</v>
      </c>
      <c r="O247" s="152">
        <v>45438.208333333336</v>
      </c>
      <c r="P247" s="152">
        <v>45438.211805555555</v>
      </c>
      <c r="Q247" s="152">
        <v>45438.416666666664</v>
      </c>
      <c r="R247" s="114" t="s">
        <v>118</v>
      </c>
      <c r="S247" s="114">
        <v>45438.458333333336</v>
      </c>
      <c r="T247" s="114"/>
      <c r="U247" s="114"/>
      <c r="V247" s="95">
        <f t="shared" si="120"/>
        <v>0.20833333332848269</v>
      </c>
      <c r="W247" s="95">
        <v>0.20833333333333334</v>
      </c>
      <c r="X247" s="95" t="str">
        <f t="shared" si="121"/>
        <v>00:00</v>
      </c>
      <c r="Y247" s="96">
        <v>0</v>
      </c>
      <c r="Z247" s="96">
        <v>59</v>
      </c>
      <c r="AA247" s="96">
        <f t="shared" si="106"/>
        <v>59</v>
      </c>
      <c r="AB247" s="97">
        <f t="shared" si="107"/>
        <v>0</v>
      </c>
      <c r="AC247" s="97">
        <f t="shared" si="108"/>
        <v>4024.45</v>
      </c>
      <c r="AD247" s="98">
        <v>4024.45</v>
      </c>
      <c r="AE247" s="98">
        <v>4077.1</v>
      </c>
      <c r="AF247" s="98">
        <v>4085</v>
      </c>
      <c r="AG247" s="98">
        <f t="shared" si="109"/>
        <v>60.550000000000182</v>
      </c>
      <c r="AH247" s="99">
        <v>672.5</v>
      </c>
      <c r="AI247" s="100">
        <f t="shared" si="110"/>
        <v>2747162.5</v>
      </c>
      <c r="AJ247" s="100">
        <f>(0.4*AH247)*2</f>
        <v>538</v>
      </c>
      <c r="AK247" s="100">
        <v>0</v>
      </c>
      <c r="AL247" s="100">
        <v>0</v>
      </c>
      <c r="AM247" s="100">
        <v>0</v>
      </c>
      <c r="AN247" s="100">
        <v>0</v>
      </c>
      <c r="AO247" s="100">
        <v>0</v>
      </c>
      <c r="AP247" s="100">
        <f t="shared" si="129"/>
        <v>137386</v>
      </c>
      <c r="AQ247" s="101">
        <f t="shared" si="119"/>
        <v>2885087</v>
      </c>
      <c r="AR247" s="101">
        <v>0</v>
      </c>
      <c r="AS247" s="101">
        <v>0</v>
      </c>
      <c r="AT247" s="102" t="s">
        <v>33</v>
      </c>
      <c r="AU247" s="109" t="s">
        <v>118</v>
      </c>
      <c r="AV247" s="100">
        <v>0</v>
      </c>
      <c r="AW247" s="105"/>
      <c r="AX247" s="106">
        <f t="shared" si="122"/>
        <v>1.4822521419828685</v>
      </c>
      <c r="AY247" s="101">
        <f t="shared" si="123"/>
        <v>40720</v>
      </c>
      <c r="AZ247" s="107"/>
      <c r="BA247" s="94">
        <v>45438.208333333336</v>
      </c>
      <c r="BB247" s="94">
        <v>45438.211805555555</v>
      </c>
      <c r="BC247" s="94">
        <v>45438.319444444445</v>
      </c>
      <c r="BD247" s="94">
        <v>45438.452777777777</v>
      </c>
      <c r="BE247" s="95">
        <f t="shared" si="124"/>
        <v>0.24444444444088731</v>
      </c>
      <c r="BF247" s="95">
        <v>1.7361111111111112E-2</v>
      </c>
      <c r="BG247" s="95">
        <v>9.375E-2</v>
      </c>
      <c r="BH247" s="95">
        <f t="shared" si="125"/>
        <v>3.4722222189884633E-3</v>
      </c>
      <c r="BI247" s="95">
        <f t="shared" si="125"/>
        <v>0.10763888889050577</v>
      </c>
      <c r="BJ247" s="95">
        <f t="shared" si="125"/>
        <v>0.13333333333139308</v>
      </c>
      <c r="BK247" s="95">
        <f t="shared" si="126"/>
        <v>0.24097222222189885</v>
      </c>
      <c r="BL247" s="95">
        <f t="shared" si="127"/>
        <v>0.12986111111078774</v>
      </c>
      <c r="BM247" s="95">
        <f t="shared" si="128"/>
        <v>3.6111111107553967E-2</v>
      </c>
      <c r="BN247" s="110"/>
    </row>
    <row r="248" spans="1:66" s="8" customFormat="1" ht="12.75" customHeight="1" x14ac:dyDescent="0.25">
      <c r="A248" s="150">
        <v>209</v>
      </c>
      <c r="B248" s="150">
        <v>106</v>
      </c>
      <c r="C248" s="90">
        <v>16</v>
      </c>
      <c r="D248" s="90" t="s">
        <v>113</v>
      </c>
      <c r="E248" s="91" t="s">
        <v>173</v>
      </c>
      <c r="F248" s="90" t="s">
        <v>27</v>
      </c>
      <c r="G248" s="90" t="s">
        <v>12</v>
      </c>
      <c r="H248" s="90" t="s">
        <v>115</v>
      </c>
      <c r="I248" s="135" t="s">
        <v>387</v>
      </c>
      <c r="J248" s="151">
        <v>45433</v>
      </c>
      <c r="K248" s="135" t="s">
        <v>117</v>
      </c>
      <c r="L248" s="135">
        <v>282000935</v>
      </c>
      <c r="M248" s="151">
        <v>45439</v>
      </c>
      <c r="N248" s="152">
        <v>45438.458333333336</v>
      </c>
      <c r="O248" s="152">
        <v>45438.458333333336</v>
      </c>
      <c r="P248" s="152">
        <v>45438.461805555555</v>
      </c>
      <c r="Q248" s="152">
        <v>45438.666666666664</v>
      </c>
      <c r="R248" s="114" t="s">
        <v>118</v>
      </c>
      <c r="S248" s="114" t="s">
        <v>118</v>
      </c>
      <c r="T248" s="114"/>
      <c r="U248" s="114"/>
      <c r="V248" s="95">
        <f t="shared" si="120"/>
        <v>0.20833333332848269</v>
      </c>
      <c r="W248" s="95">
        <v>0.20833333333333334</v>
      </c>
      <c r="X248" s="95" t="str">
        <f t="shared" si="121"/>
        <v>00:00</v>
      </c>
      <c r="Y248" s="96">
        <v>0</v>
      </c>
      <c r="Z248" s="96">
        <v>59</v>
      </c>
      <c r="AA248" s="96">
        <f t="shared" si="106"/>
        <v>59</v>
      </c>
      <c r="AB248" s="97">
        <f t="shared" si="107"/>
        <v>0</v>
      </c>
      <c r="AC248" s="97">
        <f t="shared" si="108"/>
        <v>4042.16</v>
      </c>
      <c r="AD248" s="98">
        <v>4042.16</v>
      </c>
      <c r="AE248" s="98">
        <v>4109.8</v>
      </c>
      <c r="AF248" s="98">
        <v>4112.8</v>
      </c>
      <c r="AG248" s="98">
        <f t="shared" si="109"/>
        <v>70.640000000000327</v>
      </c>
      <c r="AH248" s="99">
        <v>1586.7</v>
      </c>
      <c r="AI248" s="100">
        <f t="shared" si="110"/>
        <v>6525779.7600000007</v>
      </c>
      <c r="AJ248" s="100">
        <f>(0*AH248)*2</f>
        <v>0</v>
      </c>
      <c r="AK248" s="100">
        <v>0</v>
      </c>
      <c r="AL248" s="100">
        <v>0</v>
      </c>
      <c r="AM248" s="100">
        <v>0</v>
      </c>
      <c r="AN248" s="100">
        <v>0</v>
      </c>
      <c r="AO248" s="100">
        <f>IFERROR(AF248*20+(((AJ248/AH248)/2)*20),0)</f>
        <v>82256</v>
      </c>
      <c r="AP248" s="100">
        <f t="shared" si="129"/>
        <v>330402</v>
      </c>
      <c r="AQ248" s="101">
        <f t="shared" si="119"/>
        <v>6938438</v>
      </c>
      <c r="AR248" s="101">
        <v>0</v>
      </c>
      <c r="AS248" s="101">
        <v>0</v>
      </c>
      <c r="AT248" s="102" t="s">
        <v>34</v>
      </c>
      <c r="AU248" s="109" t="s">
        <v>118</v>
      </c>
      <c r="AV248" s="100">
        <v>0</v>
      </c>
      <c r="AW248" s="105"/>
      <c r="AX248" s="106">
        <f t="shared" si="122"/>
        <v>1.7175646761330561</v>
      </c>
      <c r="AY248" s="101">
        <f t="shared" si="123"/>
        <v>112085</v>
      </c>
      <c r="AZ248" s="107"/>
      <c r="BA248" s="94">
        <v>45438.458333333336</v>
      </c>
      <c r="BB248" s="94">
        <v>45438.461805555555</v>
      </c>
      <c r="BC248" s="94">
        <v>45438.520833333336</v>
      </c>
      <c r="BD248" s="94">
        <v>45438.680555555555</v>
      </c>
      <c r="BE248" s="95">
        <f t="shared" si="124"/>
        <v>0.22222222221898846</v>
      </c>
      <c r="BF248" s="95">
        <v>5.486111111111111E-2</v>
      </c>
      <c r="BG248" s="95">
        <v>1.7361111111111112E-2</v>
      </c>
      <c r="BH248" s="95">
        <f t="shared" si="125"/>
        <v>3.4722222189884633E-3</v>
      </c>
      <c r="BI248" s="95">
        <f t="shared" si="125"/>
        <v>5.9027777781011537E-2</v>
      </c>
      <c r="BJ248" s="95">
        <f t="shared" si="125"/>
        <v>0.15972222221898846</v>
      </c>
      <c r="BK248" s="95">
        <f t="shared" si="126"/>
        <v>0.21875</v>
      </c>
      <c r="BL248" s="95">
        <f t="shared" si="127"/>
        <v>0.14652777777777778</v>
      </c>
      <c r="BM248" s="95">
        <f t="shared" si="128"/>
        <v>1.3888888885655121E-2</v>
      </c>
      <c r="BN248" s="110"/>
    </row>
    <row r="249" spans="1:66" s="8" customFormat="1" ht="12.75" customHeight="1" x14ac:dyDescent="0.25">
      <c r="A249" s="150">
        <v>210</v>
      </c>
      <c r="B249" s="150">
        <v>107</v>
      </c>
      <c r="C249" s="90">
        <v>4</v>
      </c>
      <c r="D249" s="90" t="s">
        <v>148</v>
      </c>
      <c r="E249" s="91" t="s">
        <v>381</v>
      </c>
      <c r="F249" s="90" t="s">
        <v>16</v>
      </c>
      <c r="G249" s="90" t="s">
        <v>17</v>
      </c>
      <c r="H249" s="90" t="s">
        <v>150</v>
      </c>
      <c r="I249" s="135" t="s">
        <v>388</v>
      </c>
      <c r="J249" s="151">
        <v>45436</v>
      </c>
      <c r="K249" s="135" t="s">
        <v>122</v>
      </c>
      <c r="L249" s="135">
        <v>461000258</v>
      </c>
      <c r="M249" s="151">
        <v>45438</v>
      </c>
      <c r="N249" s="152">
        <v>45438.638888888891</v>
      </c>
      <c r="O249" s="152">
        <v>45438.625</v>
      </c>
      <c r="P249" s="152">
        <v>45438.642361111109</v>
      </c>
      <c r="Q249" s="152">
        <v>45438.833333333336</v>
      </c>
      <c r="R249" s="114">
        <v>45438.638888888891</v>
      </c>
      <c r="S249" s="114" t="s">
        <v>118</v>
      </c>
      <c r="T249" s="114"/>
      <c r="U249" s="114"/>
      <c r="V249" s="95">
        <f t="shared" si="120"/>
        <v>0.20833333333575865</v>
      </c>
      <c r="W249" s="95">
        <v>0.20833333333333334</v>
      </c>
      <c r="X249" s="95">
        <f t="shared" si="121"/>
        <v>2.4253099528692701E-12</v>
      </c>
      <c r="Y249" s="96">
        <v>0</v>
      </c>
      <c r="Z249" s="96">
        <v>58</v>
      </c>
      <c r="AA249" s="96">
        <f t="shared" si="106"/>
        <v>58</v>
      </c>
      <c r="AB249" s="97">
        <f t="shared" si="107"/>
        <v>0</v>
      </c>
      <c r="AC249" s="97">
        <f t="shared" si="108"/>
        <v>3989.9699999999993</v>
      </c>
      <c r="AD249" s="98">
        <v>3989.97</v>
      </c>
      <c r="AE249" s="98">
        <v>4033.8</v>
      </c>
      <c r="AF249" s="98">
        <v>4036.4</v>
      </c>
      <c r="AG249" s="98">
        <f t="shared" si="109"/>
        <v>46.430000000000291</v>
      </c>
      <c r="AH249" s="99">
        <v>672.5</v>
      </c>
      <c r="AI249" s="100">
        <f t="shared" si="110"/>
        <v>2714479</v>
      </c>
      <c r="AJ249" s="100">
        <f>(0*AH249)*2</f>
        <v>0</v>
      </c>
      <c r="AK249" s="100">
        <v>0</v>
      </c>
      <c r="AL249" s="100">
        <v>0</v>
      </c>
      <c r="AM249" s="100">
        <v>0</v>
      </c>
      <c r="AN249" s="100">
        <v>0</v>
      </c>
      <c r="AO249" s="100">
        <v>0</v>
      </c>
      <c r="AP249" s="100">
        <f t="shared" si="129"/>
        <v>135724</v>
      </c>
      <c r="AQ249" s="101">
        <f t="shared" si="119"/>
        <v>2850203</v>
      </c>
      <c r="AR249" s="101">
        <v>0</v>
      </c>
      <c r="AS249" s="101">
        <v>0</v>
      </c>
      <c r="AT249" s="102" t="s">
        <v>34</v>
      </c>
      <c r="AU249" s="109" t="s">
        <v>118</v>
      </c>
      <c r="AV249" s="100">
        <v>0</v>
      </c>
      <c r="AW249" s="105"/>
      <c r="AX249" s="106">
        <f t="shared" si="122"/>
        <v>1.1502824298880263</v>
      </c>
      <c r="AY249" s="101">
        <f t="shared" si="123"/>
        <v>31225</v>
      </c>
      <c r="AZ249" s="107"/>
      <c r="BA249" s="94">
        <v>45438.638888888891</v>
      </c>
      <c r="BB249" s="94">
        <v>45438.642361111109</v>
      </c>
      <c r="BC249" s="94">
        <v>45438.708333333336</v>
      </c>
      <c r="BD249" s="94">
        <v>45438.831250000003</v>
      </c>
      <c r="BE249" s="95">
        <f t="shared" si="124"/>
        <v>0.19236111111240461</v>
      </c>
      <c r="BF249" s="95">
        <v>1.7361111111111112E-2</v>
      </c>
      <c r="BG249" s="95">
        <v>4.8611111111111112E-2</v>
      </c>
      <c r="BH249" s="95">
        <f t="shared" si="125"/>
        <v>3.4722222189884633E-3</v>
      </c>
      <c r="BI249" s="95">
        <f t="shared" si="125"/>
        <v>6.5972222226264421E-2</v>
      </c>
      <c r="BJ249" s="95">
        <f t="shared" si="125"/>
        <v>0.12291666666715173</v>
      </c>
      <c r="BK249" s="95">
        <f t="shared" si="126"/>
        <v>0.18888888889341615</v>
      </c>
      <c r="BL249" s="95">
        <f t="shared" si="127"/>
        <v>0.12291666667119394</v>
      </c>
      <c r="BM249" s="95" t="str">
        <f t="shared" si="128"/>
        <v>00:00</v>
      </c>
      <c r="BN249" s="110"/>
    </row>
    <row r="250" spans="1:66" s="8" customFormat="1" ht="12.75" customHeight="1" x14ac:dyDescent="0.25">
      <c r="A250" s="150">
        <v>211</v>
      </c>
      <c r="B250" s="150">
        <v>108</v>
      </c>
      <c r="C250" s="90">
        <v>5</v>
      </c>
      <c r="D250" s="90" t="s">
        <v>148</v>
      </c>
      <c r="E250" s="91" t="s">
        <v>381</v>
      </c>
      <c r="F250" s="90" t="s">
        <v>16</v>
      </c>
      <c r="G250" s="90" t="s">
        <v>17</v>
      </c>
      <c r="H250" s="90" t="s">
        <v>150</v>
      </c>
      <c r="I250" s="135" t="s">
        <v>389</v>
      </c>
      <c r="J250" s="151">
        <v>45436</v>
      </c>
      <c r="K250" s="135" t="s">
        <v>117</v>
      </c>
      <c r="L250" s="135">
        <v>461000259</v>
      </c>
      <c r="M250" s="151">
        <v>45439</v>
      </c>
      <c r="N250" s="152">
        <v>45438.8125</v>
      </c>
      <c r="O250" s="152">
        <v>45438.8125</v>
      </c>
      <c r="P250" s="152">
        <v>45438.815972222219</v>
      </c>
      <c r="Q250" s="152">
        <v>45438.989583333336</v>
      </c>
      <c r="R250" s="114" t="s">
        <v>118</v>
      </c>
      <c r="S250" s="114" t="s">
        <v>118</v>
      </c>
      <c r="T250" s="114"/>
      <c r="U250" s="114"/>
      <c r="V250" s="95">
        <f t="shared" si="120"/>
        <v>0.17708333333575865</v>
      </c>
      <c r="W250" s="95">
        <v>0.20833333333333334</v>
      </c>
      <c r="X250" s="95" t="str">
        <f t="shared" si="121"/>
        <v>00:00</v>
      </c>
      <c r="Y250" s="96">
        <v>2</v>
      </c>
      <c r="Z250" s="96">
        <v>56</v>
      </c>
      <c r="AA250" s="96">
        <f t="shared" si="106"/>
        <v>58</v>
      </c>
      <c r="AB250" s="97">
        <f t="shared" si="107"/>
        <v>136.97206896551725</v>
      </c>
      <c r="AC250" s="97">
        <f t="shared" si="108"/>
        <v>3835.2179310344832</v>
      </c>
      <c r="AD250" s="98">
        <v>3972.19</v>
      </c>
      <c r="AE250" s="98">
        <v>4037.7</v>
      </c>
      <c r="AF250" s="98">
        <v>4042.8</v>
      </c>
      <c r="AG250" s="98">
        <f t="shared" si="109"/>
        <v>70.610000000000127</v>
      </c>
      <c r="AH250" s="99">
        <v>672.5</v>
      </c>
      <c r="AI250" s="100">
        <f t="shared" si="110"/>
        <v>2718783</v>
      </c>
      <c r="AJ250" s="100">
        <f>(0*AH250)*2</f>
        <v>0</v>
      </c>
      <c r="AK250" s="100">
        <v>0</v>
      </c>
      <c r="AL250" s="100">
        <v>24140</v>
      </c>
      <c r="AM250" s="100">
        <v>0</v>
      </c>
      <c r="AN250" s="100">
        <v>0</v>
      </c>
      <c r="AO250" s="100">
        <v>0</v>
      </c>
      <c r="AP250" s="100">
        <f t="shared" si="129"/>
        <v>137147</v>
      </c>
      <c r="AQ250" s="101">
        <f t="shared" si="119"/>
        <v>2880070</v>
      </c>
      <c r="AR250" s="101">
        <v>0</v>
      </c>
      <c r="AS250" s="101">
        <v>0</v>
      </c>
      <c r="AT250" s="102" t="s">
        <v>34</v>
      </c>
      <c r="AU250" s="109"/>
      <c r="AV250" s="100">
        <f>6.2-4.7</f>
        <v>1.5</v>
      </c>
      <c r="AW250" s="105"/>
      <c r="AX250" s="106">
        <f t="shared" si="122"/>
        <v>1.7465617888592095</v>
      </c>
      <c r="AY250" s="101">
        <f t="shared" si="123"/>
        <v>47486</v>
      </c>
      <c r="AZ250" s="107"/>
      <c r="BA250" s="94">
        <v>45438.8125</v>
      </c>
      <c r="BB250" s="94">
        <v>45438.815972222219</v>
      </c>
      <c r="BC250" s="94">
        <v>45438.840277777781</v>
      </c>
      <c r="BD250" s="94">
        <v>45438.976388888892</v>
      </c>
      <c r="BE250" s="95">
        <f t="shared" si="124"/>
        <v>0.16388888889196096</v>
      </c>
      <c r="BF250" s="95">
        <v>9.0277777777777769E-3</v>
      </c>
      <c r="BG250" s="95">
        <v>1.5277777777777777E-2</v>
      </c>
      <c r="BH250" s="95">
        <f t="shared" si="125"/>
        <v>3.4722222189884633E-3</v>
      </c>
      <c r="BI250" s="95">
        <f t="shared" si="125"/>
        <v>2.4305555562023073E-2</v>
      </c>
      <c r="BJ250" s="95">
        <f t="shared" si="125"/>
        <v>0.13611111111094942</v>
      </c>
      <c r="BK250" s="95">
        <f t="shared" si="126"/>
        <v>0.1604166666729725</v>
      </c>
      <c r="BL250" s="95">
        <f t="shared" si="127"/>
        <v>0.13611111111741694</v>
      </c>
      <c r="BM250" s="95" t="str">
        <f t="shared" si="128"/>
        <v>00:00</v>
      </c>
      <c r="BN250" s="110"/>
    </row>
    <row r="251" spans="1:66" s="8" customFormat="1" ht="12.75" customHeight="1" x14ac:dyDescent="0.25">
      <c r="A251" s="153">
        <v>212</v>
      </c>
      <c r="B251" s="150">
        <v>109</v>
      </c>
      <c r="C251" s="90">
        <v>8</v>
      </c>
      <c r="D251" s="90" t="s">
        <v>113</v>
      </c>
      <c r="E251" s="91" t="s">
        <v>299</v>
      </c>
      <c r="F251" s="90" t="s">
        <v>7</v>
      </c>
      <c r="G251" s="90" t="s">
        <v>8</v>
      </c>
      <c r="H251" s="90" t="s">
        <v>300</v>
      </c>
      <c r="I251" s="135" t="s">
        <v>390</v>
      </c>
      <c r="J251" s="151">
        <v>45434</v>
      </c>
      <c r="K251" s="135" t="s">
        <v>117</v>
      </c>
      <c r="L251" s="135">
        <v>282000936</v>
      </c>
      <c r="M251" s="151">
        <v>45439</v>
      </c>
      <c r="N251" s="152">
        <v>45439.010416666664</v>
      </c>
      <c r="O251" s="152">
        <v>45439.010416666664</v>
      </c>
      <c r="P251" s="152">
        <v>45439.03125</v>
      </c>
      <c r="Q251" s="152">
        <v>45439.21875</v>
      </c>
      <c r="R251" s="114" t="s">
        <v>118</v>
      </c>
      <c r="S251" s="114" t="s">
        <v>118</v>
      </c>
      <c r="T251" s="114"/>
      <c r="U251" s="114"/>
      <c r="V251" s="95">
        <f t="shared" si="120"/>
        <v>0.20833333333575865</v>
      </c>
      <c r="W251" s="95">
        <v>0.20833333333333334</v>
      </c>
      <c r="X251" s="95">
        <f t="shared" si="121"/>
        <v>2.4253099528692701E-12</v>
      </c>
      <c r="Y251" s="96">
        <v>0</v>
      </c>
      <c r="Z251" s="96">
        <v>58</v>
      </c>
      <c r="AA251" s="96">
        <f t="shared" si="106"/>
        <v>58</v>
      </c>
      <c r="AB251" s="97">
        <f t="shared" si="107"/>
        <v>0</v>
      </c>
      <c r="AC251" s="97">
        <f t="shared" si="108"/>
        <v>3988.4299999999994</v>
      </c>
      <c r="AD251" s="98">
        <v>3988.43</v>
      </c>
      <c r="AE251" s="98">
        <v>4039</v>
      </c>
      <c r="AF251" s="98">
        <v>4042</v>
      </c>
      <c r="AG251" s="98">
        <f t="shared" si="109"/>
        <v>53.570000000000164</v>
      </c>
      <c r="AH251" s="99">
        <v>1484</v>
      </c>
      <c r="AI251" s="100">
        <f t="shared" si="110"/>
        <v>5998328</v>
      </c>
      <c r="AJ251" s="100">
        <f>(0.4*AH251)*2</f>
        <v>1187.2</v>
      </c>
      <c r="AK251" s="100">
        <v>0</v>
      </c>
      <c r="AL251" s="100">
        <v>0</v>
      </c>
      <c r="AM251" s="100">
        <v>0</v>
      </c>
      <c r="AN251" s="100">
        <v>0</v>
      </c>
      <c r="AO251" s="100">
        <v>0</v>
      </c>
      <c r="AP251" s="100">
        <f t="shared" si="129"/>
        <v>299976</v>
      </c>
      <c r="AQ251" s="101">
        <f t="shared" si="119"/>
        <v>6299492</v>
      </c>
      <c r="AR251" s="101">
        <v>0</v>
      </c>
      <c r="AS251" s="101">
        <v>0</v>
      </c>
      <c r="AT251" s="102" t="s">
        <v>34</v>
      </c>
      <c r="AU251" s="109" t="s">
        <v>118</v>
      </c>
      <c r="AV251" s="100">
        <v>0</v>
      </c>
      <c r="AW251" s="105"/>
      <c r="AX251" s="106">
        <f t="shared" si="122"/>
        <v>1.3253339930727404</v>
      </c>
      <c r="AY251" s="101">
        <f t="shared" si="123"/>
        <v>79498</v>
      </c>
      <c r="AZ251" s="107"/>
      <c r="BA251" s="94">
        <v>45439.010416666664</v>
      </c>
      <c r="BB251" s="94">
        <v>45439.03125</v>
      </c>
      <c r="BC251" s="94">
        <v>45439.03125</v>
      </c>
      <c r="BD251" s="94">
        <v>45439.165277777778</v>
      </c>
      <c r="BE251" s="95">
        <f t="shared" si="124"/>
        <v>0.15486111111385981</v>
      </c>
      <c r="BF251" s="95">
        <v>0</v>
      </c>
      <c r="BG251" s="95">
        <v>0</v>
      </c>
      <c r="BH251" s="95">
        <f t="shared" si="125"/>
        <v>2.0833333335758653E-2</v>
      </c>
      <c r="BI251" s="95">
        <f t="shared" si="125"/>
        <v>0</v>
      </c>
      <c r="BJ251" s="95">
        <f t="shared" si="125"/>
        <v>0.13402777777810115</v>
      </c>
      <c r="BK251" s="95">
        <f t="shared" si="126"/>
        <v>0.13402777777810115</v>
      </c>
      <c r="BL251" s="95">
        <f t="shared" si="127"/>
        <v>0.13402777777810115</v>
      </c>
      <c r="BM251" s="95" t="str">
        <f t="shared" si="128"/>
        <v>00:00</v>
      </c>
      <c r="BN251" s="110"/>
    </row>
    <row r="252" spans="1:66" s="8" customFormat="1" ht="12.75" customHeight="1" x14ac:dyDescent="0.25">
      <c r="A252" s="154">
        <v>213</v>
      </c>
      <c r="B252" s="115">
        <v>110</v>
      </c>
      <c r="C252" s="90">
        <v>8</v>
      </c>
      <c r="D252" s="90" t="s">
        <v>113</v>
      </c>
      <c r="E252" s="91" t="s">
        <v>114</v>
      </c>
      <c r="F252" s="111" t="s">
        <v>39</v>
      </c>
      <c r="G252" s="90" t="s">
        <v>12</v>
      </c>
      <c r="H252" s="115" t="s">
        <v>115</v>
      </c>
      <c r="I252" s="135" t="s">
        <v>391</v>
      </c>
      <c r="J252" s="151">
        <v>45437</v>
      </c>
      <c r="K252" s="135" t="s">
        <v>117</v>
      </c>
      <c r="L252" s="135">
        <v>282000938</v>
      </c>
      <c r="M252" s="151">
        <v>45440</v>
      </c>
      <c r="N252" s="118">
        <v>45439.458333333336</v>
      </c>
      <c r="O252" s="118">
        <v>45439.458333333336</v>
      </c>
      <c r="P252" s="118">
        <v>45439.5</v>
      </c>
      <c r="Q252" s="118">
        <v>45439.666666666664</v>
      </c>
      <c r="R252" s="114" t="s">
        <v>118</v>
      </c>
      <c r="S252" s="114">
        <v>45439.770833333336</v>
      </c>
      <c r="T252" s="114"/>
      <c r="U252" s="114"/>
      <c r="V252" s="95">
        <f t="shared" si="120"/>
        <v>0.20833333332848269</v>
      </c>
      <c r="W252" s="95">
        <v>0.20833333333333334</v>
      </c>
      <c r="X252" s="95" t="str">
        <f t="shared" si="121"/>
        <v>00:00</v>
      </c>
      <c r="Y252" s="96">
        <v>0</v>
      </c>
      <c r="Z252" s="96">
        <v>10</v>
      </c>
      <c r="AA252" s="96">
        <f t="shared" si="106"/>
        <v>10</v>
      </c>
      <c r="AB252" s="97">
        <f t="shared" si="107"/>
        <v>0</v>
      </c>
      <c r="AC252" s="97">
        <f t="shared" si="108"/>
        <v>675.39999999999986</v>
      </c>
      <c r="AD252" s="98">
        <v>675.4</v>
      </c>
      <c r="AE252" s="98">
        <v>697.6</v>
      </c>
      <c r="AF252" s="98">
        <v>697.6</v>
      </c>
      <c r="AG252" s="98">
        <f t="shared" si="109"/>
        <v>22.200000000000045</v>
      </c>
      <c r="AH252" s="99">
        <v>1586.7</v>
      </c>
      <c r="AI252" s="100">
        <f t="shared" si="110"/>
        <v>1106881.9200000002</v>
      </c>
      <c r="AJ252" s="100">
        <f>(0*AH252)*2</f>
        <v>0</v>
      </c>
      <c r="AK252" s="100">
        <v>0</v>
      </c>
      <c r="AL252" s="100">
        <v>0</v>
      </c>
      <c r="AM252" s="100">
        <v>0</v>
      </c>
      <c r="AN252" s="100">
        <v>0</v>
      </c>
      <c r="AO252" s="100">
        <f>IFERROR(AF252*20+(((AJ252/AH252)/2)*20),0)</f>
        <v>13952</v>
      </c>
      <c r="AP252" s="100">
        <f t="shared" si="129"/>
        <v>56042</v>
      </c>
      <c r="AQ252" s="101">
        <f t="shared" si="119"/>
        <v>1176876</v>
      </c>
      <c r="AR252" s="101">
        <v>0</v>
      </c>
      <c r="AS252" s="101">
        <v>0</v>
      </c>
      <c r="AT252" s="102" t="s">
        <v>33</v>
      </c>
      <c r="AU252" s="109" t="s">
        <v>118</v>
      </c>
      <c r="AV252" s="100">
        <v>0</v>
      </c>
      <c r="AW252" s="105"/>
      <c r="AX252" s="106">
        <f t="shared" si="122"/>
        <v>3.1823394495412911</v>
      </c>
      <c r="AY252" s="101">
        <f t="shared" si="123"/>
        <v>35225</v>
      </c>
      <c r="AZ252" s="107"/>
      <c r="BA252" s="118">
        <v>45439.458333333336</v>
      </c>
      <c r="BB252" s="118">
        <v>45439.5</v>
      </c>
      <c r="BC252" s="118">
        <v>45439.5</v>
      </c>
      <c r="BD252" s="118">
        <v>45439.763194444444</v>
      </c>
      <c r="BE252" s="119">
        <f t="shared" si="124"/>
        <v>0.30486111110803904</v>
      </c>
      <c r="BF252" s="119">
        <v>7.8472222222222221E-2</v>
      </c>
      <c r="BG252" s="119">
        <v>7.4999999999999997E-2</v>
      </c>
      <c r="BH252" s="119">
        <f t="shared" si="125"/>
        <v>4.1666666664241347E-2</v>
      </c>
      <c r="BI252" s="119">
        <f t="shared" si="125"/>
        <v>0</v>
      </c>
      <c r="BJ252" s="119">
        <f t="shared" si="125"/>
        <v>0.26319444444379769</v>
      </c>
      <c r="BK252" s="119">
        <f t="shared" si="126"/>
        <v>0.26319444444379769</v>
      </c>
      <c r="BL252" s="119">
        <f t="shared" si="127"/>
        <v>0.10972222222157547</v>
      </c>
      <c r="BM252" s="119">
        <f t="shared" si="128"/>
        <v>9.6527777774705698E-2</v>
      </c>
      <c r="BN252" s="110" t="s">
        <v>392</v>
      </c>
    </row>
    <row r="253" spans="1:66" s="8" customFormat="1" ht="12.75" customHeight="1" x14ac:dyDescent="0.25">
      <c r="A253" s="155"/>
      <c r="B253" s="122"/>
      <c r="C253" s="90">
        <v>17</v>
      </c>
      <c r="D253" s="90" t="s">
        <v>113</v>
      </c>
      <c r="E253" s="91" t="s">
        <v>137</v>
      </c>
      <c r="F253" s="150" t="s">
        <v>27</v>
      </c>
      <c r="G253" s="148" t="s">
        <v>12</v>
      </c>
      <c r="H253" s="122"/>
      <c r="I253" s="135" t="s">
        <v>393</v>
      </c>
      <c r="J253" s="151">
        <v>45437</v>
      </c>
      <c r="K253" s="135" t="s">
        <v>117</v>
      </c>
      <c r="L253" s="135">
        <v>282000937</v>
      </c>
      <c r="M253" s="151">
        <v>45440</v>
      </c>
      <c r="N253" s="125"/>
      <c r="O253" s="125"/>
      <c r="P253" s="125"/>
      <c r="Q253" s="125"/>
      <c r="R253" s="114" t="s">
        <v>118</v>
      </c>
      <c r="S253" s="114">
        <v>45439.770833333336</v>
      </c>
      <c r="T253" s="114"/>
      <c r="U253" s="114"/>
      <c r="V253" s="95">
        <f t="shared" si="120"/>
        <v>0</v>
      </c>
      <c r="W253" s="95">
        <v>0.20833333333333334</v>
      </c>
      <c r="X253" s="95" t="str">
        <f t="shared" si="121"/>
        <v>00:00</v>
      </c>
      <c r="Y253" s="96">
        <v>0</v>
      </c>
      <c r="Z253" s="96">
        <v>48</v>
      </c>
      <c r="AA253" s="96">
        <f t="shared" si="106"/>
        <v>48</v>
      </c>
      <c r="AB253" s="97">
        <f t="shared" si="107"/>
        <v>0</v>
      </c>
      <c r="AC253" s="97">
        <f t="shared" si="108"/>
        <v>3291.7799999999997</v>
      </c>
      <c r="AD253" s="98">
        <v>3291.78</v>
      </c>
      <c r="AE253" s="98">
        <v>3344.4</v>
      </c>
      <c r="AF253" s="98">
        <v>3344.8</v>
      </c>
      <c r="AG253" s="98">
        <f t="shared" si="109"/>
        <v>53.019999999999982</v>
      </c>
      <c r="AH253" s="99">
        <v>1586.7</v>
      </c>
      <c r="AI253" s="100">
        <f t="shared" si="110"/>
        <v>5307194.16</v>
      </c>
      <c r="AJ253" s="100">
        <f>(0*AH253)*2</f>
        <v>0</v>
      </c>
      <c r="AK253" s="100">
        <v>0</v>
      </c>
      <c r="AL253" s="100">
        <v>0</v>
      </c>
      <c r="AM253" s="100">
        <v>0</v>
      </c>
      <c r="AN253" s="100">
        <v>0</v>
      </c>
      <c r="AO253" s="100">
        <f>IFERROR(AF253*20+(((AJ253/AH253)/2)*20),0)</f>
        <v>66896</v>
      </c>
      <c r="AP253" s="100">
        <f t="shared" si="129"/>
        <v>268705</v>
      </c>
      <c r="AQ253" s="101">
        <f t="shared" si="119"/>
        <v>5642796</v>
      </c>
      <c r="AR253" s="101">
        <v>0</v>
      </c>
      <c r="AS253" s="101">
        <v>0</v>
      </c>
      <c r="AT253" s="102" t="s">
        <v>33</v>
      </c>
      <c r="AU253" s="109" t="s">
        <v>118</v>
      </c>
      <c r="AV253" s="100">
        <v>0</v>
      </c>
      <c r="AW253" s="105"/>
      <c r="AX253" s="106">
        <f t="shared" si="122"/>
        <v>1.585147093996651</v>
      </c>
      <c r="AY253" s="101">
        <f t="shared" si="123"/>
        <v>84127</v>
      </c>
      <c r="AZ253" s="107"/>
      <c r="BA253" s="125"/>
      <c r="BB253" s="125"/>
      <c r="BC253" s="125"/>
      <c r="BD253" s="125"/>
      <c r="BE253" s="126"/>
      <c r="BF253" s="126"/>
      <c r="BG253" s="126"/>
      <c r="BH253" s="126"/>
      <c r="BI253" s="126"/>
      <c r="BJ253" s="126"/>
      <c r="BK253" s="126"/>
      <c r="BL253" s="126"/>
      <c r="BM253" s="126"/>
      <c r="BN253" s="110" t="s">
        <v>394</v>
      </c>
    </row>
    <row r="254" spans="1:66" s="8" customFormat="1" ht="12.75" customHeight="1" x14ac:dyDescent="0.25">
      <c r="A254" s="150">
        <v>214</v>
      </c>
      <c r="B254" s="150">
        <v>111</v>
      </c>
      <c r="C254" s="90">
        <v>6</v>
      </c>
      <c r="D254" s="90" t="s">
        <v>148</v>
      </c>
      <c r="E254" s="91" t="s">
        <v>381</v>
      </c>
      <c r="F254" s="90" t="s">
        <v>16</v>
      </c>
      <c r="G254" s="90" t="s">
        <v>17</v>
      </c>
      <c r="H254" s="90" t="s">
        <v>150</v>
      </c>
      <c r="I254" s="135" t="s">
        <v>395</v>
      </c>
      <c r="J254" s="151">
        <v>45436</v>
      </c>
      <c r="K254" s="135" t="s">
        <v>122</v>
      </c>
      <c r="L254" s="135">
        <v>461000260</v>
      </c>
      <c r="M254" s="151">
        <v>45439</v>
      </c>
      <c r="N254" s="152">
        <v>45439.635416666664</v>
      </c>
      <c r="O254" s="152">
        <v>45439.635416666664</v>
      </c>
      <c r="P254" s="152">
        <v>45439.638888888891</v>
      </c>
      <c r="Q254" s="152">
        <v>45439.84375</v>
      </c>
      <c r="R254" s="114" t="s">
        <v>118</v>
      </c>
      <c r="S254" s="114">
        <v>45439.90625</v>
      </c>
      <c r="T254" s="114"/>
      <c r="U254" s="114"/>
      <c r="V254" s="95">
        <f t="shared" si="120"/>
        <v>0.20833333333575865</v>
      </c>
      <c r="W254" s="95">
        <v>0.20833333333333334</v>
      </c>
      <c r="X254" s="95">
        <f t="shared" si="121"/>
        <v>2.4253099528692701E-12</v>
      </c>
      <c r="Y254" s="96">
        <v>0</v>
      </c>
      <c r="Z254" s="96">
        <v>59</v>
      </c>
      <c r="AA254" s="96">
        <f t="shared" si="106"/>
        <v>59</v>
      </c>
      <c r="AB254" s="97">
        <f t="shared" si="107"/>
        <v>0</v>
      </c>
      <c r="AC254" s="97">
        <f t="shared" si="108"/>
        <v>4054.8900000000003</v>
      </c>
      <c r="AD254" s="98">
        <v>4054.89</v>
      </c>
      <c r="AE254" s="98">
        <v>4106.5</v>
      </c>
      <c r="AF254" s="98">
        <v>4109.2</v>
      </c>
      <c r="AG254" s="98">
        <f t="shared" si="109"/>
        <v>54.309999999999945</v>
      </c>
      <c r="AH254" s="99">
        <v>672.5</v>
      </c>
      <c r="AI254" s="100">
        <f t="shared" si="110"/>
        <v>2763437</v>
      </c>
      <c r="AJ254" s="100">
        <f>(0*AH254)*2</f>
        <v>0</v>
      </c>
      <c r="AK254" s="100">
        <v>0</v>
      </c>
      <c r="AL254" s="100">
        <v>0</v>
      </c>
      <c r="AM254" s="100">
        <v>0</v>
      </c>
      <c r="AN254" s="100">
        <v>0</v>
      </c>
      <c r="AO254" s="100">
        <v>0</v>
      </c>
      <c r="AP254" s="100">
        <f t="shared" si="129"/>
        <v>138172</v>
      </c>
      <c r="AQ254" s="101">
        <f t="shared" si="119"/>
        <v>2901609</v>
      </c>
      <c r="AR254" s="101">
        <v>0</v>
      </c>
      <c r="AS254" s="101">
        <v>0</v>
      </c>
      <c r="AT254" s="102" t="s">
        <v>34</v>
      </c>
      <c r="AU254" s="109" t="s">
        <v>118</v>
      </c>
      <c r="AV254" s="100">
        <v>0</v>
      </c>
      <c r="AW254" s="105"/>
      <c r="AX254" s="106">
        <f t="shared" si="122"/>
        <v>1.3216684512800532</v>
      </c>
      <c r="AY254" s="101">
        <f t="shared" si="123"/>
        <v>36524</v>
      </c>
      <c r="AZ254" s="107"/>
      <c r="BA254" s="94">
        <v>45439.635416666664</v>
      </c>
      <c r="BB254" s="94">
        <v>45439.638888888891</v>
      </c>
      <c r="BC254" s="94">
        <v>45439.804166666669</v>
      </c>
      <c r="BD254" s="94">
        <v>45439.923611111109</v>
      </c>
      <c r="BE254" s="95">
        <f t="shared" ref="BE254:BE259" si="130">+BD254-BA254</f>
        <v>0.28819444444525288</v>
      </c>
      <c r="BF254" s="95">
        <v>0</v>
      </c>
      <c r="BG254" s="95">
        <v>0.16527777777777777</v>
      </c>
      <c r="BH254" s="95">
        <f t="shared" ref="BH254:BJ259" si="131">+BB254-BA254</f>
        <v>3.4722222262644209E-3</v>
      </c>
      <c r="BI254" s="95">
        <f t="shared" si="131"/>
        <v>0.16527777777810115</v>
      </c>
      <c r="BJ254" s="95">
        <f t="shared" si="131"/>
        <v>0.11944444444088731</v>
      </c>
      <c r="BK254" s="95">
        <f t="shared" ref="BK254:BK259" si="132">+BI254+BJ254</f>
        <v>0.28472222221898846</v>
      </c>
      <c r="BL254" s="95">
        <f t="shared" ref="BL254:BL259" si="133">+BE254-BH254-BF254-BG254</f>
        <v>0.11944444444121069</v>
      </c>
      <c r="BM254" s="95">
        <f t="shared" ref="BM254:BM259" si="134">IF(VALUE(BE254)&lt;=VALUE("05:00"),"00:00",VALUE(BE254)-VALUE("05:00"))</f>
        <v>7.9861111111919542E-2</v>
      </c>
      <c r="BN254" s="110"/>
    </row>
    <row r="255" spans="1:66" s="8" customFormat="1" ht="12.75" customHeight="1" x14ac:dyDescent="0.25">
      <c r="A255" s="150">
        <v>215</v>
      </c>
      <c r="B255" s="150">
        <v>112</v>
      </c>
      <c r="C255" s="90">
        <v>7</v>
      </c>
      <c r="D255" s="90" t="s">
        <v>148</v>
      </c>
      <c r="E255" s="91" t="s">
        <v>381</v>
      </c>
      <c r="F255" s="90" t="s">
        <v>16</v>
      </c>
      <c r="G255" s="90" t="s">
        <v>17</v>
      </c>
      <c r="H255" s="90" t="s">
        <v>150</v>
      </c>
      <c r="I255" s="135" t="s">
        <v>396</v>
      </c>
      <c r="J255" s="151">
        <v>45438</v>
      </c>
      <c r="K255" s="135" t="s">
        <v>117</v>
      </c>
      <c r="L255" s="135">
        <v>461000261</v>
      </c>
      <c r="M255" s="151">
        <v>45440</v>
      </c>
      <c r="N255" s="152">
        <v>45439.895833333336</v>
      </c>
      <c r="O255" s="152">
        <v>45439.822916666664</v>
      </c>
      <c r="P255" s="152">
        <v>45439.899305555555</v>
      </c>
      <c r="Q255" s="152">
        <v>45439.993055555555</v>
      </c>
      <c r="R255" s="114">
        <v>45439.895833333336</v>
      </c>
      <c r="S255" s="114" t="s">
        <v>118</v>
      </c>
      <c r="T255" s="114"/>
      <c r="U255" s="114"/>
      <c r="V255" s="95">
        <f t="shared" si="120"/>
        <v>0.17013888889050577</v>
      </c>
      <c r="W255" s="95">
        <v>0.20833333333333334</v>
      </c>
      <c r="X255" s="95" t="str">
        <f t="shared" si="121"/>
        <v>00:00</v>
      </c>
      <c r="Y255" s="96">
        <v>0</v>
      </c>
      <c r="Z255" s="96">
        <v>59</v>
      </c>
      <c r="AA255" s="96">
        <f t="shared" si="106"/>
        <v>59</v>
      </c>
      <c r="AB255" s="97">
        <f t="shared" si="107"/>
        <v>0</v>
      </c>
      <c r="AC255" s="97">
        <f t="shared" si="108"/>
        <v>3989.29</v>
      </c>
      <c r="AD255" s="98">
        <v>3989.29</v>
      </c>
      <c r="AE255" s="98">
        <v>4110.6000000000004</v>
      </c>
      <c r="AF255" s="98">
        <v>4110.6000000000004</v>
      </c>
      <c r="AG255" s="98">
        <f t="shared" si="109"/>
        <v>121.3100000000004</v>
      </c>
      <c r="AH255" s="99">
        <v>672.5</v>
      </c>
      <c r="AI255" s="100">
        <f t="shared" si="110"/>
        <v>2764378.5000000005</v>
      </c>
      <c r="AJ255" s="100">
        <f>(0*AH255)*2</f>
        <v>0</v>
      </c>
      <c r="AK255" s="100">
        <v>0</v>
      </c>
      <c r="AL255" s="100">
        <v>0</v>
      </c>
      <c r="AM255" s="100">
        <v>0</v>
      </c>
      <c r="AN255" s="100">
        <v>0</v>
      </c>
      <c r="AO255" s="100">
        <v>0</v>
      </c>
      <c r="AP255" s="100">
        <f t="shared" si="129"/>
        <v>138219</v>
      </c>
      <c r="AQ255" s="101">
        <f t="shared" si="119"/>
        <v>2902598</v>
      </c>
      <c r="AR255" s="101">
        <v>0</v>
      </c>
      <c r="AS255" s="101">
        <v>0</v>
      </c>
      <c r="AT255" s="102" t="s">
        <v>34</v>
      </c>
      <c r="AU255" s="109" t="s">
        <v>118</v>
      </c>
      <c r="AV255" s="100">
        <v>0</v>
      </c>
      <c r="AW255" s="105"/>
      <c r="AX255" s="106">
        <f t="shared" si="122"/>
        <v>2.9511506835985108</v>
      </c>
      <c r="AY255" s="101">
        <f t="shared" si="123"/>
        <v>81581</v>
      </c>
      <c r="AZ255" s="107"/>
      <c r="BA255" s="94">
        <v>45439.895833333336</v>
      </c>
      <c r="BB255" s="94">
        <v>45439.899305555555</v>
      </c>
      <c r="BC255" s="94">
        <v>45439.927083333336</v>
      </c>
      <c r="BD255" s="94">
        <v>45440.048611111109</v>
      </c>
      <c r="BE255" s="95">
        <f t="shared" si="130"/>
        <v>0.15277777777373558</v>
      </c>
      <c r="BF255" s="95">
        <v>0</v>
      </c>
      <c r="BG255" s="95">
        <v>3.3333333333333333E-2</v>
      </c>
      <c r="BH255" s="95">
        <f t="shared" si="131"/>
        <v>3.4722222189884633E-3</v>
      </c>
      <c r="BI255" s="95">
        <f t="shared" si="131"/>
        <v>2.7777777781011537E-2</v>
      </c>
      <c r="BJ255" s="95">
        <f t="shared" si="131"/>
        <v>0.12152777777373558</v>
      </c>
      <c r="BK255" s="95">
        <f t="shared" si="132"/>
        <v>0.14930555555474712</v>
      </c>
      <c r="BL255" s="95">
        <f t="shared" si="133"/>
        <v>0.11597222222141379</v>
      </c>
      <c r="BM255" s="95" t="str">
        <f t="shared" si="134"/>
        <v>00:00</v>
      </c>
      <c r="BN255" s="110"/>
    </row>
    <row r="256" spans="1:66" s="8" customFormat="1" ht="12.75" customHeight="1" x14ac:dyDescent="0.25">
      <c r="A256" s="150">
        <v>216</v>
      </c>
      <c r="B256" s="150">
        <v>113</v>
      </c>
      <c r="C256" s="90">
        <v>9</v>
      </c>
      <c r="D256" s="90" t="s">
        <v>113</v>
      </c>
      <c r="E256" s="91" t="s">
        <v>299</v>
      </c>
      <c r="F256" s="90" t="s">
        <v>7</v>
      </c>
      <c r="G256" s="90" t="s">
        <v>8</v>
      </c>
      <c r="H256" s="90" t="s">
        <v>300</v>
      </c>
      <c r="I256" s="135" t="s">
        <v>397</v>
      </c>
      <c r="J256" s="151">
        <v>45435</v>
      </c>
      <c r="K256" s="135" t="s">
        <v>122</v>
      </c>
      <c r="L256" s="135">
        <v>282000942</v>
      </c>
      <c r="M256" s="151">
        <v>45441</v>
      </c>
      <c r="N256" s="152">
        <v>45440.020833333336</v>
      </c>
      <c r="O256" s="152">
        <v>45440.020833333336</v>
      </c>
      <c r="P256" s="152">
        <v>45440.024305555555</v>
      </c>
      <c r="Q256" s="152">
        <v>45440.229166666664</v>
      </c>
      <c r="R256" s="114" t="s">
        <v>118</v>
      </c>
      <c r="S256" s="114" t="s">
        <v>118</v>
      </c>
      <c r="T256" s="114"/>
      <c r="U256" s="114"/>
      <c r="V256" s="95">
        <f t="shared" si="120"/>
        <v>0.20833333332848269</v>
      </c>
      <c r="W256" s="95">
        <v>0.20833333333333334</v>
      </c>
      <c r="X256" s="95" t="str">
        <f t="shared" si="121"/>
        <v>00:00</v>
      </c>
      <c r="Y256" s="96">
        <v>0</v>
      </c>
      <c r="Z256" s="96">
        <v>58</v>
      </c>
      <c r="AA256" s="96">
        <f t="shared" si="106"/>
        <v>58</v>
      </c>
      <c r="AB256" s="97">
        <f t="shared" si="107"/>
        <v>0</v>
      </c>
      <c r="AC256" s="97">
        <f t="shared" si="108"/>
        <v>3975.7</v>
      </c>
      <c r="AD256" s="98">
        <v>3975.7</v>
      </c>
      <c r="AE256" s="98">
        <v>4026.6</v>
      </c>
      <c r="AF256" s="98">
        <v>4032.2</v>
      </c>
      <c r="AG256" s="98">
        <f t="shared" si="109"/>
        <v>56.5</v>
      </c>
      <c r="AH256" s="99">
        <v>1484</v>
      </c>
      <c r="AI256" s="100">
        <f t="shared" si="110"/>
        <v>5983784.7999999998</v>
      </c>
      <c r="AJ256" s="100">
        <f>(0*AH256)*2</f>
        <v>0</v>
      </c>
      <c r="AK256" s="100">
        <v>0</v>
      </c>
      <c r="AL256" s="100">
        <v>24140</v>
      </c>
      <c r="AM256" s="100">
        <v>0</v>
      </c>
      <c r="AN256" s="100">
        <v>0</v>
      </c>
      <c r="AO256" s="100">
        <v>0</v>
      </c>
      <c r="AP256" s="100">
        <f t="shared" si="129"/>
        <v>300397</v>
      </c>
      <c r="AQ256" s="101">
        <f t="shared" si="119"/>
        <v>6308322</v>
      </c>
      <c r="AR256" s="101">
        <v>0</v>
      </c>
      <c r="AS256" s="101">
        <v>0</v>
      </c>
      <c r="AT256" s="102" t="s">
        <v>33</v>
      </c>
      <c r="AU256" s="109"/>
      <c r="AV256" s="100">
        <f>7.03-5.03</f>
        <v>2</v>
      </c>
      <c r="AW256" s="105"/>
      <c r="AX256" s="106">
        <f t="shared" si="122"/>
        <v>1.4012201775705571</v>
      </c>
      <c r="AY256" s="101">
        <f t="shared" si="123"/>
        <v>83846</v>
      </c>
      <c r="AZ256" s="107"/>
      <c r="BA256" s="94">
        <v>45440.020833333336</v>
      </c>
      <c r="BB256" s="94">
        <v>45440.024305555555</v>
      </c>
      <c r="BC256" s="94">
        <v>45440.083333333336</v>
      </c>
      <c r="BD256" s="94">
        <v>45440.223611111112</v>
      </c>
      <c r="BE256" s="95">
        <f t="shared" si="130"/>
        <v>0.20277777777664596</v>
      </c>
      <c r="BF256" s="95">
        <v>2.0833333333333332E-2</v>
      </c>
      <c r="BG256" s="95">
        <v>5.347222222222222E-2</v>
      </c>
      <c r="BH256" s="95">
        <f t="shared" si="131"/>
        <v>3.4722222189884633E-3</v>
      </c>
      <c r="BI256" s="95">
        <f t="shared" si="131"/>
        <v>5.9027777781011537E-2</v>
      </c>
      <c r="BJ256" s="95">
        <f t="shared" si="131"/>
        <v>0.14027777777664596</v>
      </c>
      <c r="BK256" s="95">
        <f t="shared" si="132"/>
        <v>0.1993055555576575</v>
      </c>
      <c r="BL256" s="95">
        <f t="shared" si="133"/>
        <v>0.12500000000210193</v>
      </c>
      <c r="BM256" s="95" t="str">
        <f t="shared" si="134"/>
        <v>00:00</v>
      </c>
      <c r="BN256" s="110"/>
    </row>
    <row r="257" spans="1:66" s="8" customFormat="1" ht="12.75" customHeight="1" x14ac:dyDescent="0.25">
      <c r="A257" s="150">
        <v>217</v>
      </c>
      <c r="B257" s="150">
        <v>114</v>
      </c>
      <c r="C257" s="90">
        <v>8</v>
      </c>
      <c r="D257" s="90" t="s">
        <v>148</v>
      </c>
      <c r="E257" s="91" t="s">
        <v>381</v>
      </c>
      <c r="F257" s="90" t="s">
        <v>16</v>
      </c>
      <c r="G257" s="90" t="s">
        <v>17</v>
      </c>
      <c r="H257" s="90" t="s">
        <v>150</v>
      </c>
      <c r="I257" s="135" t="s">
        <v>398</v>
      </c>
      <c r="J257" s="151">
        <v>45438</v>
      </c>
      <c r="K257" s="135" t="s">
        <v>117</v>
      </c>
      <c r="L257" s="135">
        <v>461000262</v>
      </c>
      <c r="M257" s="151">
        <v>45440</v>
      </c>
      <c r="N257" s="152">
        <v>45440.166666666664</v>
      </c>
      <c r="O257" s="152">
        <v>45440.166666666664</v>
      </c>
      <c r="P257" s="152">
        <v>45440.170138888891</v>
      </c>
      <c r="Q257" s="152">
        <v>45440.375</v>
      </c>
      <c r="R257" s="114" t="s">
        <v>118</v>
      </c>
      <c r="S257" s="114" t="s">
        <v>118</v>
      </c>
      <c r="T257" s="114"/>
      <c r="U257" s="114"/>
      <c r="V257" s="95">
        <f t="shared" si="120"/>
        <v>0.20833333333575865</v>
      </c>
      <c r="W257" s="95">
        <v>0.20833333333333334</v>
      </c>
      <c r="X257" s="95">
        <f t="shared" si="121"/>
        <v>2.4253099528692701E-12</v>
      </c>
      <c r="Y257" s="96">
        <v>0</v>
      </c>
      <c r="Z257" s="96">
        <v>59</v>
      </c>
      <c r="AA257" s="96">
        <f t="shared" si="106"/>
        <v>59</v>
      </c>
      <c r="AB257" s="97">
        <f t="shared" si="107"/>
        <v>0</v>
      </c>
      <c r="AC257" s="97">
        <f t="shared" si="108"/>
        <v>4064.43</v>
      </c>
      <c r="AD257" s="98">
        <v>4064.43</v>
      </c>
      <c r="AE257" s="98">
        <v>4016.6</v>
      </c>
      <c r="AF257" s="98">
        <v>4114.8</v>
      </c>
      <c r="AG257" s="98">
        <f t="shared" si="109"/>
        <v>50.370000000000346</v>
      </c>
      <c r="AH257" s="99">
        <v>672.5</v>
      </c>
      <c r="AI257" s="100">
        <f t="shared" si="110"/>
        <v>2767203</v>
      </c>
      <c r="AJ257" s="100">
        <f>(0.8*AH257)*2</f>
        <v>1076</v>
      </c>
      <c r="AK257" s="100">
        <v>0</v>
      </c>
      <c r="AL257" s="100">
        <v>0</v>
      </c>
      <c r="AM257" s="100">
        <v>0</v>
      </c>
      <c r="AN257" s="100">
        <v>0</v>
      </c>
      <c r="AO257" s="100">
        <v>0</v>
      </c>
      <c r="AP257" s="100">
        <f t="shared" si="129"/>
        <v>138414</v>
      </c>
      <c r="AQ257" s="101">
        <f t="shared" si="119"/>
        <v>2906693</v>
      </c>
      <c r="AR257" s="101">
        <v>0</v>
      </c>
      <c r="AS257" s="101">
        <v>0</v>
      </c>
      <c r="AT257" s="102" t="s">
        <v>34</v>
      </c>
      <c r="AU257" s="109" t="s">
        <v>118</v>
      </c>
      <c r="AV257" s="100">
        <v>0</v>
      </c>
      <c r="AW257" s="105"/>
      <c r="AX257" s="106">
        <f t="shared" si="122"/>
        <v>1.224117818606016</v>
      </c>
      <c r="AY257" s="101">
        <f t="shared" si="123"/>
        <v>33874</v>
      </c>
      <c r="AZ257" s="107"/>
      <c r="BA257" s="94">
        <v>45440.166666666664</v>
      </c>
      <c r="BB257" s="94">
        <v>45440.170138888891</v>
      </c>
      <c r="BC257" s="94">
        <v>45440.243055555555</v>
      </c>
      <c r="BD257" s="94">
        <v>45440.375</v>
      </c>
      <c r="BE257" s="95">
        <f t="shared" si="130"/>
        <v>0.20833333333575865</v>
      </c>
      <c r="BF257" s="95">
        <v>4.1666666666666666E-3</v>
      </c>
      <c r="BG257" s="95">
        <v>7.2916666666666671E-2</v>
      </c>
      <c r="BH257" s="95">
        <f t="shared" si="131"/>
        <v>3.4722222262644209E-3</v>
      </c>
      <c r="BI257" s="95">
        <f t="shared" si="131"/>
        <v>7.2916666664241347E-2</v>
      </c>
      <c r="BJ257" s="95">
        <f t="shared" si="131"/>
        <v>0.13194444444525288</v>
      </c>
      <c r="BK257" s="95">
        <f t="shared" si="132"/>
        <v>0.20486111110949423</v>
      </c>
      <c r="BL257" s="95">
        <f t="shared" si="133"/>
        <v>0.12777777777616089</v>
      </c>
      <c r="BM257" s="95">
        <f t="shared" si="134"/>
        <v>2.4253099528692701E-12</v>
      </c>
      <c r="BN257" s="110"/>
    </row>
    <row r="258" spans="1:66" s="8" customFormat="1" ht="12.75" customHeight="1" x14ac:dyDescent="0.25">
      <c r="A258" s="153">
        <v>218</v>
      </c>
      <c r="B258" s="150">
        <v>115</v>
      </c>
      <c r="C258" s="90">
        <v>9</v>
      </c>
      <c r="D258" s="90" t="s">
        <v>148</v>
      </c>
      <c r="E258" s="91" t="s">
        <v>381</v>
      </c>
      <c r="F258" s="90" t="s">
        <v>16</v>
      </c>
      <c r="G258" s="90" t="s">
        <v>17</v>
      </c>
      <c r="H258" s="90" t="s">
        <v>150</v>
      </c>
      <c r="I258" s="135" t="s">
        <v>399</v>
      </c>
      <c r="J258" s="151">
        <v>45438</v>
      </c>
      <c r="K258" s="135" t="s">
        <v>122</v>
      </c>
      <c r="L258" s="135">
        <v>461000263</v>
      </c>
      <c r="M258" s="151">
        <v>45440</v>
      </c>
      <c r="N258" s="152">
        <v>45440.4375</v>
      </c>
      <c r="O258" s="152">
        <v>45440.4375</v>
      </c>
      <c r="P258" s="152">
        <v>45440.440972222219</v>
      </c>
      <c r="Q258" s="152">
        <v>45440.583333333336</v>
      </c>
      <c r="R258" s="114" t="s">
        <v>118</v>
      </c>
      <c r="S258" s="114" t="s">
        <v>118</v>
      </c>
      <c r="T258" s="114"/>
      <c r="U258" s="114"/>
      <c r="V258" s="95">
        <f t="shared" si="120"/>
        <v>0.14583333333575865</v>
      </c>
      <c r="W258" s="95">
        <v>0.20833333333333334</v>
      </c>
      <c r="X258" s="95" t="str">
        <f t="shared" si="121"/>
        <v>00:00</v>
      </c>
      <c r="Y258" s="96">
        <v>0</v>
      </c>
      <c r="Z258" s="96">
        <v>59</v>
      </c>
      <c r="AA258" s="96">
        <f t="shared" si="106"/>
        <v>59</v>
      </c>
      <c r="AB258" s="97">
        <f t="shared" si="107"/>
        <v>0</v>
      </c>
      <c r="AC258" s="97">
        <f t="shared" si="108"/>
        <v>4039.7699999999995</v>
      </c>
      <c r="AD258" s="98">
        <v>4039.77</v>
      </c>
      <c r="AE258" s="98">
        <v>4105</v>
      </c>
      <c r="AF258" s="98">
        <v>4109</v>
      </c>
      <c r="AG258" s="98">
        <f t="shared" si="109"/>
        <v>69.230000000000018</v>
      </c>
      <c r="AH258" s="99">
        <v>672.5</v>
      </c>
      <c r="AI258" s="100">
        <f t="shared" si="110"/>
        <v>2763302.5</v>
      </c>
      <c r="AJ258" s="100">
        <f>(0.2*AH258)*2</f>
        <v>269</v>
      </c>
      <c r="AK258" s="100">
        <v>0</v>
      </c>
      <c r="AL258" s="100">
        <v>0</v>
      </c>
      <c r="AM258" s="100">
        <v>0</v>
      </c>
      <c r="AN258" s="100">
        <v>0</v>
      </c>
      <c r="AO258" s="100">
        <v>0</v>
      </c>
      <c r="AP258" s="100">
        <f t="shared" si="129"/>
        <v>138179</v>
      </c>
      <c r="AQ258" s="101">
        <f t="shared" si="119"/>
        <v>2901751</v>
      </c>
      <c r="AR258" s="101">
        <v>0</v>
      </c>
      <c r="AS258" s="101">
        <v>0</v>
      </c>
      <c r="AT258" s="102" t="s">
        <v>34</v>
      </c>
      <c r="AU258" s="109" t="s">
        <v>118</v>
      </c>
      <c r="AV258" s="100">
        <v>0</v>
      </c>
      <c r="AW258" s="105"/>
      <c r="AX258" s="106">
        <f t="shared" si="122"/>
        <v>1.6848381601362865</v>
      </c>
      <c r="AY258" s="101">
        <f t="shared" si="123"/>
        <v>46558</v>
      </c>
      <c r="AZ258" s="107"/>
      <c r="BA258" s="94">
        <v>45440.4375</v>
      </c>
      <c r="BB258" s="94">
        <v>45440.440972222219</v>
      </c>
      <c r="BC258" s="94">
        <v>45440.440972222219</v>
      </c>
      <c r="BD258" s="94">
        <v>45440.563194444447</v>
      </c>
      <c r="BE258" s="95">
        <f t="shared" si="130"/>
        <v>0.12569444444670808</v>
      </c>
      <c r="BF258" s="95">
        <v>0</v>
      </c>
      <c r="BG258" s="95">
        <v>0</v>
      </c>
      <c r="BH258" s="95">
        <f t="shared" si="131"/>
        <v>3.4722222189884633E-3</v>
      </c>
      <c r="BI258" s="95">
        <f t="shared" si="131"/>
        <v>0</v>
      </c>
      <c r="BJ258" s="95">
        <f t="shared" si="131"/>
        <v>0.12222222222771961</v>
      </c>
      <c r="BK258" s="95">
        <f t="shared" si="132"/>
        <v>0.12222222222771961</v>
      </c>
      <c r="BL258" s="95">
        <f t="shared" si="133"/>
        <v>0.12222222222771961</v>
      </c>
      <c r="BM258" s="95" t="str">
        <f t="shared" si="134"/>
        <v>00:00</v>
      </c>
      <c r="BN258" s="110"/>
    </row>
    <row r="259" spans="1:66" s="8" customFormat="1" ht="12.75" customHeight="1" x14ac:dyDescent="0.25">
      <c r="A259" s="115">
        <v>219</v>
      </c>
      <c r="B259" s="115">
        <v>116</v>
      </c>
      <c r="C259" s="115">
        <v>18</v>
      </c>
      <c r="D259" s="90" t="s">
        <v>113</v>
      </c>
      <c r="E259" s="91" t="s">
        <v>173</v>
      </c>
      <c r="F259" s="115" t="s">
        <v>27</v>
      </c>
      <c r="G259" s="115" t="s">
        <v>12</v>
      </c>
      <c r="H259" s="115" t="s">
        <v>115</v>
      </c>
      <c r="I259" s="116" t="s">
        <v>400</v>
      </c>
      <c r="J259" s="117">
        <v>45437</v>
      </c>
      <c r="K259" s="116" t="s">
        <v>117</v>
      </c>
      <c r="L259" s="116">
        <v>282000939</v>
      </c>
      <c r="M259" s="117">
        <v>45441</v>
      </c>
      <c r="N259" s="118">
        <v>45440.6875</v>
      </c>
      <c r="O259" s="118">
        <v>45440.6875</v>
      </c>
      <c r="P259" s="118">
        <v>45440.71875</v>
      </c>
      <c r="Q259" s="118">
        <v>45440.895833333336</v>
      </c>
      <c r="R259" s="118" t="s">
        <v>118</v>
      </c>
      <c r="S259" s="118">
        <v>45440.979166666664</v>
      </c>
      <c r="T259" s="118"/>
      <c r="U259" s="118"/>
      <c r="V259" s="119">
        <f t="shared" si="120"/>
        <v>0.20833333333575865</v>
      </c>
      <c r="W259" s="119">
        <v>0.20833333333333334</v>
      </c>
      <c r="X259" s="119">
        <f t="shared" si="121"/>
        <v>2.4253099528692701E-12</v>
      </c>
      <c r="Y259" s="96">
        <v>5</v>
      </c>
      <c r="Z259" s="96">
        <v>36</v>
      </c>
      <c r="AA259" s="96">
        <f t="shared" si="106"/>
        <v>41</v>
      </c>
      <c r="AB259" s="97">
        <f t="shared" si="107"/>
        <v>338.64634146341467</v>
      </c>
      <c r="AC259" s="97">
        <f t="shared" si="108"/>
        <v>2438.2536585365856</v>
      </c>
      <c r="AD259" s="98">
        <f>3993.94-1217.04</f>
        <v>2776.9</v>
      </c>
      <c r="AE259" s="98">
        <f>4103-1254.8</f>
        <v>2848.2</v>
      </c>
      <c r="AF259" s="98">
        <f>4108.2-1327.26</f>
        <v>2780.9399999999996</v>
      </c>
      <c r="AG259" s="98">
        <f t="shared" si="109"/>
        <v>4.0399999999995089</v>
      </c>
      <c r="AH259" s="99">
        <v>1586.7</v>
      </c>
      <c r="AI259" s="100">
        <f t="shared" si="110"/>
        <v>4412517.4979999997</v>
      </c>
      <c r="AJ259" s="100">
        <f t="shared" ref="AJ259:AJ263" si="135">(0*AH259)*2</f>
        <v>0</v>
      </c>
      <c r="AK259" s="100">
        <v>0</v>
      </c>
      <c r="AL259" s="100">
        <v>24290</v>
      </c>
      <c r="AM259" s="100">
        <v>0</v>
      </c>
      <c r="AN259" s="100">
        <v>0</v>
      </c>
      <c r="AO259" s="100">
        <f>IFERROR(AF259*20+(((AJ259/AH259)/2)*20),0)</f>
        <v>55618.799999999988</v>
      </c>
      <c r="AP259" s="100">
        <f>ROUNDUP(SUM(AI259:AO259)*5%,0)-1</f>
        <v>224621</v>
      </c>
      <c r="AQ259" s="101">
        <f>ROUNDUP(SUM(AI259:AP259),0)-1</f>
        <v>4717047</v>
      </c>
      <c r="AR259" s="101">
        <v>0</v>
      </c>
      <c r="AS259" s="101">
        <v>0</v>
      </c>
      <c r="AT259" s="137" t="s">
        <v>34</v>
      </c>
      <c r="AU259" s="120"/>
      <c r="AV259" s="121">
        <f>6.34-4.84</f>
        <v>1.5</v>
      </c>
      <c r="AW259" s="139"/>
      <c r="AX259" s="140">
        <f>IFERROR(((AG259+AG260)/(AF259+AF260))*100, "")</f>
        <v>2.7812667348230256</v>
      </c>
      <c r="AY259" s="141">
        <f>ROUNDUP((AG259+AG260)*AH259,0)</f>
        <v>181297</v>
      </c>
      <c r="AZ259" s="107"/>
      <c r="BA259" s="118">
        <v>45440.6875</v>
      </c>
      <c r="BB259" s="118">
        <v>45440.71875</v>
      </c>
      <c r="BC259" s="118">
        <v>45440.71875</v>
      </c>
      <c r="BD259" s="118">
        <v>45440.96875</v>
      </c>
      <c r="BE259" s="119">
        <f t="shared" si="130"/>
        <v>0.28125</v>
      </c>
      <c r="BF259" s="119">
        <v>0</v>
      </c>
      <c r="BG259" s="119">
        <v>0.11527777777777778</v>
      </c>
      <c r="BH259" s="119">
        <f t="shared" si="131"/>
        <v>3.125E-2</v>
      </c>
      <c r="BI259" s="119">
        <f t="shared" si="131"/>
        <v>0</v>
      </c>
      <c r="BJ259" s="119">
        <f t="shared" si="131"/>
        <v>0.25</v>
      </c>
      <c r="BK259" s="119">
        <f t="shared" si="132"/>
        <v>0.25</v>
      </c>
      <c r="BL259" s="119">
        <f t="shared" si="133"/>
        <v>0.13472222222222222</v>
      </c>
      <c r="BM259" s="119">
        <f t="shared" si="134"/>
        <v>7.2916666666666657E-2</v>
      </c>
      <c r="BN259" s="110" t="s">
        <v>401</v>
      </c>
    </row>
    <row r="260" spans="1:66" s="8" customFormat="1" ht="12.75" customHeight="1" x14ac:dyDescent="0.25">
      <c r="A260" s="122"/>
      <c r="B260" s="122"/>
      <c r="C260" s="122"/>
      <c r="D260" s="90" t="s">
        <v>113</v>
      </c>
      <c r="E260" s="91" t="s">
        <v>137</v>
      </c>
      <c r="F260" s="122"/>
      <c r="G260" s="122"/>
      <c r="H260" s="122"/>
      <c r="I260" s="123"/>
      <c r="J260" s="124"/>
      <c r="K260" s="123"/>
      <c r="L260" s="123"/>
      <c r="M260" s="124"/>
      <c r="N260" s="125"/>
      <c r="O260" s="125"/>
      <c r="P260" s="125"/>
      <c r="Q260" s="125"/>
      <c r="R260" s="125"/>
      <c r="S260" s="125"/>
      <c r="T260" s="125"/>
      <c r="U260" s="125"/>
      <c r="V260" s="126"/>
      <c r="W260" s="126"/>
      <c r="X260" s="126"/>
      <c r="Y260" s="96">
        <v>0</v>
      </c>
      <c r="Z260" s="96">
        <v>18</v>
      </c>
      <c r="AA260" s="96">
        <f t="shared" si="106"/>
        <v>18</v>
      </c>
      <c r="AB260" s="97">
        <f t="shared" si="107"/>
        <v>0</v>
      </c>
      <c r="AC260" s="97">
        <f t="shared" si="108"/>
        <v>1217.04</v>
      </c>
      <c r="AD260" s="98">
        <v>1217.04</v>
      </c>
      <c r="AE260" s="98">
        <v>1254.8</v>
      </c>
      <c r="AF260" s="98">
        <v>1327.26</v>
      </c>
      <c r="AG260" s="98">
        <f t="shared" si="109"/>
        <v>110.22000000000003</v>
      </c>
      <c r="AH260" s="99">
        <v>1586.7</v>
      </c>
      <c r="AI260" s="100">
        <f t="shared" si="110"/>
        <v>2105963.4420000003</v>
      </c>
      <c r="AJ260" s="100">
        <f t="shared" si="135"/>
        <v>0</v>
      </c>
      <c r="AK260" s="100">
        <v>0</v>
      </c>
      <c r="AL260" s="100">
        <v>0</v>
      </c>
      <c r="AM260" s="100">
        <v>0</v>
      </c>
      <c r="AN260" s="100">
        <v>0</v>
      </c>
      <c r="AO260" s="100">
        <f>IFERROR(AF260*20+(((AJ260/AH260)/2)*20),0)</f>
        <v>26545.200000000001</v>
      </c>
      <c r="AP260" s="100">
        <f t="shared" ref="AP260:AP290" si="136">ROUNDUP(SUM(AI260:AO260)*5%,0)</f>
        <v>106626</v>
      </c>
      <c r="AQ260" s="101">
        <f t="shared" ref="AQ260:AQ278" si="137">ROUNDUP(SUM(AI260:AP260),0)</f>
        <v>2239135</v>
      </c>
      <c r="AR260" s="101">
        <v>0</v>
      </c>
      <c r="AS260" s="101">
        <v>0</v>
      </c>
      <c r="AT260" s="138"/>
      <c r="AU260" s="127"/>
      <c r="AV260" s="128"/>
      <c r="AW260" s="143"/>
      <c r="AX260" s="144"/>
      <c r="AY260" s="145"/>
      <c r="AZ260" s="107"/>
      <c r="BA260" s="125"/>
      <c r="BB260" s="125"/>
      <c r="BC260" s="125"/>
      <c r="BD260" s="125"/>
      <c r="BE260" s="126"/>
      <c r="BF260" s="126"/>
      <c r="BG260" s="126"/>
      <c r="BH260" s="126"/>
      <c r="BI260" s="126"/>
      <c r="BJ260" s="126"/>
      <c r="BK260" s="126"/>
      <c r="BL260" s="126"/>
      <c r="BM260" s="126"/>
      <c r="BN260" s="110" t="s">
        <v>402</v>
      </c>
    </row>
    <row r="261" spans="1:66" s="8" customFormat="1" ht="12.75" customHeight="1" x14ac:dyDescent="0.25">
      <c r="A261" s="150">
        <v>220</v>
      </c>
      <c r="B261" s="150">
        <v>117</v>
      </c>
      <c r="C261" s="90">
        <v>10</v>
      </c>
      <c r="D261" s="90" t="s">
        <v>148</v>
      </c>
      <c r="E261" s="91" t="s">
        <v>381</v>
      </c>
      <c r="F261" s="90" t="s">
        <v>16</v>
      </c>
      <c r="G261" s="90" t="s">
        <v>17</v>
      </c>
      <c r="H261" s="90" t="s">
        <v>150</v>
      </c>
      <c r="I261" s="135" t="s">
        <v>403</v>
      </c>
      <c r="J261" s="151">
        <v>45439</v>
      </c>
      <c r="K261" s="135" t="s">
        <v>122</v>
      </c>
      <c r="L261" s="135">
        <v>461000264</v>
      </c>
      <c r="M261" s="151">
        <v>45441</v>
      </c>
      <c r="N261" s="152">
        <v>45440.791666666664</v>
      </c>
      <c r="O261" s="152">
        <v>45440.791666666664</v>
      </c>
      <c r="P261" s="152">
        <v>45440.795138888891</v>
      </c>
      <c r="Q261" s="152">
        <v>45440.993055555555</v>
      </c>
      <c r="R261" s="114" t="s">
        <v>118</v>
      </c>
      <c r="S261" s="114">
        <v>45441.09375</v>
      </c>
      <c r="T261" s="114"/>
      <c r="U261" s="114"/>
      <c r="V261" s="95">
        <f t="shared" ref="V261:V279" si="138">+Q261-O261</f>
        <v>0.20138888889050577</v>
      </c>
      <c r="W261" s="95">
        <v>0.20833333333333334</v>
      </c>
      <c r="X261" s="95" t="str">
        <f t="shared" ref="X261:X279" si="139">IF(VALUE(V261)&lt;=VALUE("05:00"),"00:00",VALUE(V261)-VALUE("05:00"))</f>
        <v>00:00</v>
      </c>
      <c r="Y261" s="96">
        <v>0</v>
      </c>
      <c r="Z261" s="96">
        <v>58</v>
      </c>
      <c r="AA261" s="96">
        <f t="shared" si="106"/>
        <v>58</v>
      </c>
      <c r="AB261" s="97">
        <f t="shared" si="107"/>
        <v>0</v>
      </c>
      <c r="AC261" s="97">
        <f t="shared" si="108"/>
        <v>3984.3399999999997</v>
      </c>
      <c r="AD261" s="98">
        <v>3984.34</v>
      </c>
      <c r="AE261" s="98">
        <v>4029</v>
      </c>
      <c r="AF261" s="98">
        <v>4030.4</v>
      </c>
      <c r="AG261" s="98">
        <f t="shared" si="109"/>
        <v>46.059999999999945</v>
      </c>
      <c r="AH261" s="99">
        <v>672.5</v>
      </c>
      <c r="AI261" s="100">
        <f t="shared" si="110"/>
        <v>2710444</v>
      </c>
      <c r="AJ261" s="100">
        <f t="shared" si="135"/>
        <v>0</v>
      </c>
      <c r="AK261" s="100">
        <v>0</v>
      </c>
      <c r="AL261" s="100">
        <v>0</v>
      </c>
      <c r="AM261" s="100">
        <v>0</v>
      </c>
      <c r="AN261" s="100">
        <v>0</v>
      </c>
      <c r="AO261" s="100">
        <v>0</v>
      </c>
      <c r="AP261" s="100">
        <f t="shared" si="136"/>
        <v>135523</v>
      </c>
      <c r="AQ261" s="101">
        <f t="shared" si="137"/>
        <v>2845967</v>
      </c>
      <c r="AR261" s="101">
        <v>0</v>
      </c>
      <c r="AS261" s="101">
        <v>0</v>
      </c>
      <c r="AT261" s="102" t="s">
        <v>34</v>
      </c>
      <c r="AU261" s="109" t="s">
        <v>118</v>
      </c>
      <c r="AV261" s="100">
        <v>0</v>
      </c>
      <c r="AW261" s="105"/>
      <c r="AX261" s="106">
        <f t="shared" ref="AX261:AX278" si="140">IFERROR((AG261/AF261)*100, "")</f>
        <v>1.142814608971813</v>
      </c>
      <c r="AY261" s="101">
        <f t="shared" ref="AY261:AY278" si="141">ROUNDUP(AG261*AH261,0)</f>
        <v>30976</v>
      </c>
      <c r="AZ261" s="107"/>
      <c r="BA261" s="94">
        <v>45440.791666666664</v>
      </c>
      <c r="BB261" s="94">
        <v>45440.795138888891</v>
      </c>
      <c r="BC261" s="94">
        <v>45440.979166666664</v>
      </c>
      <c r="BD261" s="94">
        <v>45441.085416666669</v>
      </c>
      <c r="BE261" s="95">
        <f>+BD261-BA261</f>
        <v>0.29375000000436557</v>
      </c>
      <c r="BF261" s="95">
        <v>3.472222222222222E-3</v>
      </c>
      <c r="BG261" s="95">
        <v>0.18055555555555555</v>
      </c>
      <c r="BH261" s="95">
        <f t="shared" ref="BH261:BJ263" si="142">+BB261-BA261</f>
        <v>3.4722222262644209E-3</v>
      </c>
      <c r="BI261" s="95">
        <f t="shared" si="142"/>
        <v>0.18402777777373558</v>
      </c>
      <c r="BJ261" s="95">
        <f t="shared" si="142"/>
        <v>0.10625000000436557</v>
      </c>
      <c r="BK261" s="95">
        <f>+BI261+BJ261</f>
        <v>0.29027777777810115</v>
      </c>
      <c r="BL261" s="95">
        <f>+BE261-BH261-BF261-BG261</f>
        <v>0.10625000000032339</v>
      </c>
      <c r="BM261" s="95">
        <f>IF(VALUE(BE261)&lt;=VALUE("05:00"),"00:00",VALUE(BE261)-VALUE("05:00"))</f>
        <v>8.5416666671032232E-2</v>
      </c>
      <c r="BN261" s="110"/>
    </row>
    <row r="262" spans="1:66" s="8" customFormat="1" ht="12.75" customHeight="1" x14ac:dyDescent="0.25">
      <c r="A262" s="150">
        <v>221</v>
      </c>
      <c r="B262" s="150">
        <v>118</v>
      </c>
      <c r="C262" s="90">
        <v>9</v>
      </c>
      <c r="D262" s="90" t="s">
        <v>113</v>
      </c>
      <c r="E262" s="91" t="s">
        <v>296</v>
      </c>
      <c r="F262" s="90" t="s">
        <v>32</v>
      </c>
      <c r="G262" s="90" t="s">
        <v>15</v>
      </c>
      <c r="H262" s="90" t="s">
        <v>127</v>
      </c>
      <c r="I262" s="135" t="s">
        <v>404</v>
      </c>
      <c r="J262" s="151">
        <v>45432</v>
      </c>
      <c r="K262" s="135" t="s">
        <v>117</v>
      </c>
      <c r="L262" s="135">
        <v>262009722</v>
      </c>
      <c r="M262" s="151">
        <v>45441</v>
      </c>
      <c r="N262" s="152">
        <v>45441.118055555555</v>
      </c>
      <c r="O262" s="152">
        <v>45441.09375</v>
      </c>
      <c r="P262" s="152">
        <v>45441.125</v>
      </c>
      <c r="Q262" s="152">
        <v>45441.302083333336</v>
      </c>
      <c r="R262" s="114">
        <v>45441.118055555555</v>
      </c>
      <c r="S262" s="114" t="s">
        <v>118</v>
      </c>
      <c r="T262" s="114"/>
      <c r="U262" s="114"/>
      <c r="V262" s="95">
        <f t="shared" si="138"/>
        <v>0.20833333333575865</v>
      </c>
      <c r="W262" s="95">
        <v>0.20833333333333334</v>
      </c>
      <c r="X262" s="95">
        <f t="shared" si="139"/>
        <v>2.4253099528692701E-12</v>
      </c>
      <c r="Y262" s="96">
        <v>0</v>
      </c>
      <c r="Z262" s="96">
        <v>59</v>
      </c>
      <c r="AA262" s="96">
        <f t="shared" si="106"/>
        <v>59</v>
      </c>
      <c r="AB262" s="97">
        <f t="shared" si="107"/>
        <v>0</v>
      </c>
      <c r="AC262" s="97">
        <f t="shared" si="108"/>
        <v>3964.72</v>
      </c>
      <c r="AD262" s="98">
        <v>3964.72</v>
      </c>
      <c r="AE262" s="98">
        <v>4103.8999999999996</v>
      </c>
      <c r="AF262" s="98">
        <v>4104.2</v>
      </c>
      <c r="AG262" s="98">
        <f t="shared" si="109"/>
        <v>139.48000000000002</v>
      </c>
      <c r="AH262" s="99">
        <v>1484</v>
      </c>
      <c r="AI262" s="100">
        <f t="shared" si="110"/>
        <v>6090632.7999999998</v>
      </c>
      <c r="AJ262" s="100">
        <f t="shared" si="135"/>
        <v>0</v>
      </c>
      <c r="AK262" s="100">
        <v>0</v>
      </c>
      <c r="AL262" s="100">
        <v>0</v>
      </c>
      <c r="AM262" s="100">
        <v>0</v>
      </c>
      <c r="AN262" s="100">
        <v>0</v>
      </c>
      <c r="AO262" s="100">
        <v>0</v>
      </c>
      <c r="AP262" s="100">
        <f t="shared" si="136"/>
        <v>304532</v>
      </c>
      <c r="AQ262" s="101">
        <f t="shared" si="137"/>
        <v>6395165</v>
      </c>
      <c r="AR262" s="101">
        <v>0</v>
      </c>
      <c r="AS262" s="101">
        <v>0</v>
      </c>
      <c r="AT262" s="102" t="s">
        <v>33</v>
      </c>
      <c r="AU262" s="109" t="s">
        <v>118</v>
      </c>
      <c r="AV262" s="100">
        <v>0</v>
      </c>
      <c r="AW262" s="105"/>
      <c r="AX262" s="106">
        <f t="shared" si="140"/>
        <v>3.3984698601432681</v>
      </c>
      <c r="AY262" s="101">
        <f t="shared" si="141"/>
        <v>206989</v>
      </c>
      <c r="AZ262" s="107"/>
      <c r="BA262" s="94">
        <v>45441.118055555555</v>
      </c>
      <c r="BB262" s="94">
        <v>45441.125</v>
      </c>
      <c r="BC262" s="94">
        <v>45441.15625</v>
      </c>
      <c r="BD262" s="94">
        <v>45441.302777777775</v>
      </c>
      <c r="BE262" s="95">
        <f>+BD262-BA262</f>
        <v>0.18472222222044365</v>
      </c>
      <c r="BF262" s="95">
        <v>2.7777777777777776E-2</v>
      </c>
      <c r="BG262" s="95">
        <v>5.2083333333333336E-2</v>
      </c>
      <c r="BH262" s="95">
        <f t="shared" si="142"/>
        <v>6.9444444452528842E-3</v>
      </c>
      <c r="BI262" s="95">
        <f t="shared" si="142"/>
        <v>3.125E-2</v>
      </c>
      <c r="BJ262" s="95">
        <f t="shared" si="142"/>
        <v>0.14652777777519077</v>
      </c>
      <c r="BK262" s="95">
        <f>+BI262+BJ262</f>
        <v>0.17777777777519077</v>
      </c>
      <c r="BL262" s="95">
        <f>+BE262-BH262-BF262-BG262</f>
        <v>9.7916666664079638E-2</v>
      </c>
      <c r="BM262" s="95" t="str">
        <f>IF(VALUE(BE262)&lt;=VALUE("05:00"),"00:00",VALUE(BE262)-VALUE("05:00"))</f>
        <v>00:00</v>
      </c>
      <c r="BN262" s="110"/>
    </row>
    <row r="263" spans="1:66" s="8" customFormat="1" ht="12.75" customHeight="1" x14ac:dyDescent="0.25">
      <c r="A263" s="150">
        <v>222</v>
      </c>
      <c r="B263" s="150">
        <v>119</v>
      </c>
      <c r="C263" s="90">
        <v>11</v>
      </c>
      <c r="D263" s="90" t="s">
        <v>148</v>
      </c>
      <c r="E263" s="91" t="s">
        <v>381</v>
      </c>
      <c r="F263" s="90" t="s">
        <v>16</v>
      </c>
      <c r="G263" s="90" t="s">
        <v>17</v>
      </c>
      <c r="H263" s="90" t="s">
        <v>150</v>
      </c>
      <c r="I263" s="135" t="s">
        <v>405</v>
      </c>
      <c r="J263" s="151">
        <v>45439</v>
      </c>
      <c r="K263" s="135" t="s">
        <v>122</v>
      </c>
      <c r="L263" s="135">
        <v>461000265</v>
      </c>
      <c r="M263" s="151">
        <v>45441</v>
      </c>
      <c r="N263" s="152">
        <v>45441.239583333336</v>
      </c>
      <c r="O263" s="152">
        <v>45441.239583333336</v>
      </c>
      <c r="P263" s="152">
        <v>45441.243055555555</v>
      </c>
      <c r="Q263" s="152">
        <v>45441.447916666664</v>
      </c>
      <c r="R263" s="114" t="s">
        <v>118</v>
      </c>
      <c r="S263" s="114" t="s">
        <v>118</v>
      </c>
      <c r="T263" s="114"/>
      <c r="U263" s="114"/>
      <c r="V263" s="95">
        <f t="shared" si="138"/>
        <v>0.20833333332848269</v>
      </c>
      <c r="W263" s="95">
        <v>0.20833333333333334</v>
      </c>
      <c r="X263" s="95" t="str">
        <f t="shared" si="139"/>
        <v>00:00</v>
      </c>
      <c r="Y263" s="96">
        <v>0</v>
      </c>
      <c r="Z263" s="96">
        <v>59</v>
      </c>
      <c r="AA263" s="96">
        <f t="shared" si="106"/>
        <v>59</v>
      </c>
      <c r="AB263" s="97">
        <f t="shared" si="107"/>
        <v>0</v>
      </c>
      <c r="AC263" s="97">
        <f t="shared" si="108"/>
        <v>4004.9</v>
      </c>
      <c r="AD263" s="98">
        <v>4004.9</v>
      </c>
      <c r="AE263" s="98">
        <v>4092.8</v>
      </c>
      <c r="AF263" s="98">
        <v>4095.4</v>
      </c>
      <c r="AG263" s="98">
        <f t="shared" si="109"/>
        <v>90.5</v>
      </c>
      <c r="AH263" s="99">
        <v>672.5</v>
      </c>
      <c r="AI263" s="100">
        <f t="shared" si="110"/>
        <v>2754156.5</v>
      </c>
      <c r="AJ263" s="100">
        <f t="shared" si="135"/>
        <v>0</v>
      </c>
      <c r="AK263" s="100">
        <v>0</v>
      </c>
      <c r="AL263" s="100">
        <v>0</v>
      </c>
      <c r="AM263" s="100">
        <v>0</v>
      </c>
      <c r="AN263" s="100">
        <v>0</v>
      </c>
      <c r="AO263" s="100">
        <v>0</v>
      </c>
      <c r="AP263" s="100">
        <f t="shared" si="136"/>
        <v>137708</v>
      </c>
      <c r="AQ263" s="101">
        <f t="shared" si="137"/>
        <v>2891865</v>
      </c>
      <c r="AR263" s="101">
        <v>0</v>
      </c>
      <c r="AS263" s="101">
        <v>0</v>
      </c>
      <c r="AT263" s="102" t="s">
        <v>33</v>
      </c>
      <c r="AU263" s="109" t="s">
        <v>118</v>
      </c>
      <c r="AV263" s="100">
        <v>0</v>
      </c>
      <c r="AW263" s="105"/>
      <c r="AX263" s="106">
        <f t="shared" si="140"/>
        <v>2.2097963568882157</v>
      </c>
      <c r="AY263" s="101">
        <f t="shared" si="141"/>
        <v>60862</v>
      </c>
      <c r="AZ263" s="107"/>
      <c r="BA263" s="114">
        <v>45441.239583333336</v>
      </c>
      <c r="BB263" s="114">
        <v>45441.243055555555</v>
      </c>
      <c r="BC263" s="114">
        <v>45441.319444444445</v>
      </c>
      <c r="BD263" s="114">
        <v>45441.455555555556</v>
      </c>
      <c r="BE263" s="95">
        <f>+BD263-BA263</f>
        <v>0.21597222222044365</v>
      </c>
      <c r="BF263" s="95">
        <v>1.3888888888888888E-2</v>
      </c>
      <c r="BG263" s="95">
        <v>6.7361111111111108E-2</v>
      </c>
      <c r="BH263" s="95">
        <f t="shared" si="142"/>
        <v>3.4722222189884633E-3</v>
      </c>
      <c r="BI263" s="95">
        <f t="shared" si="142"/>
        <v>7.6388888890505768E-2</v>
      </c>
      <c r="BJ263" s="95">
        <f t="shared" si="142"/>
        <v>0.13611111111094942</v>
      </c>
      <c r="BK263" s="95">
        <f>+BI263+BJ263</f>
        <v>0.21250000000145519</v>
      </c>
      <c r="BL263" s="95">
        <f>+BE263-BH263-BF263-BG263</f>
        <v>0.1312500000014552</v>
      </c>
      <c r="BM263" s="95">
        <f>IF(VALUE(BE263)&lt;=VALUE("05:00"),"00:00",VALUE(BE263)-VALUE("05:00"))</f>
        <v>7.6388888871103122E-3</v>
      </c>
      <c r="BN263" s="110"/>
    </row>
    <row r="264" spans="1:66" s="8" customFormat="1" ht="12.75" customHeight="1" x14ac:dyDescent="0.25">
      <c r="A264" s="150">
        <v>224</v>
      </c>
      <c r="B264" s="150">
        <v>121</v>
      </c>
      <c r="C264" s="90">
        <v>3</v>
      </c>
      <c r="D264" s="90" t="s">
        <v>113</v>
      </c>
      <c r="E264" s="91" t="s">
        <v>313</v>
      </c>
      <c r="F264" s="90" t="s">
        <v>11</v>
      </c>
      <c r="G264" s="90" t="s">
        <v>12</v>
      </c>
      <c r="H264" s="90" t="s">
        <v>115</v>
      </c>
      <c r="I264" s="135" t="s">
        <v>406</v>
      </c>
      <c r="J264" s="151">
        <v>45439</v>
      </c>
      <c r="K264" s="135" t="s">
        <v>122</v>
      </c>
      <c r="L264" s="135">
        <v>282000946</v>
      </c>
      <c r="M264" s="151">
        <v>45442</v>
      </c>
      <c r="N264" s="152">
        <v>45441.666666666664</v>
      </c>
      <c r="O264" s="152">
        <v>45441.666666666664</v>
      </c>
      <c r="P264" s="152">
        <v>45441.670138888891</v>
      </c>
      <c r="Q264" s="152">
        <v>45441.875</v>
      </c>
      <c r="R264" s="114" t="s">
        <v>118</v>
      </c>
      <c r="S264" s="114" t="s">
        <v>118</v>
      </c>
      <c r="T264" s="114"/>
      <c r="U264" s="114"/>
      <c r="V264" s="95">
        <f t="shared" si="138"/>
        <v>0.20833333333575865</v>
      </c>
      <c r="W264" s="95">
        <v>0.20833333333333334</v>
      </c>
      <c r="X264" s="95">
        <f t="shared" si="139"/>
        <v>2.4253099528692701E-12</v>
      </c>
      <c r="Y264" s="96">
        <v>0</v>
      </c>
      <c r="Z264" s="96">
        <v>59</v>
      </c>
      <c r="AA264" s="96">
        <f t="shared" si="106"/>
        <v>59</v>
      </c>
      <c r="AB264" s="97">
        <f t="shared" si="107"/>
        <v>0</v>
      </c>
      <c r="AC264" s="97">
        <f t="shared" si="108"/>
        <v>3982.5</v>
      </c>
      <c r="AD264" s="97">
        <v>3982.5</v>
      </c>
      <c r="AE264" s="98">
        <v>4095.4</v>
      </c>
      <c r="AF264" s="98">
        <v>4101.3999999999996</v>
      </c>
      <c r="AG264" s="98">
        <f t="shared" si="109"/>
        <v>118.89999999999964</v>
      </c>
      <c r="AH264" s="99">
        <v>1586.7</v>
      </c>
      <c r="AI264" s="100">
        <f t="shared" si="110"/>
        <v>6507691.3799999999</v>
      </c>
      <c r="AJ264" s="100">
        <f>(0.4*AH264)*2</f>
        <v>1269.3600000000001</v>
      </c>
      <c r="AK264" s="100">
        <v>0</v>
      </c>
      <c r="AL264" s="100">
        <v>0</v>
      </c>
      <c r="AM264" s="100">
        <v>0</v>
      </c>
      <c r="AN264" s="100">
        <v>0</v>
      </c>
      <c r="AO264" s="100">
        <f>IFERROR(AF264*20+(((AJ264/AH264)/2)*20),0)</f>
        <v>82036</v>
      </c>
      <c r="AP264" s="100">
        <f t="shared" si="136"/>
        <v>329550</v>
      </c>
      <c r="AQ264" s="101">
        <f t="shared" si="137"/>
        <v>6920547</v>
      </c>
      <c r="AR264" s="101">
        <v>0</v>
      </c>
      <c r="AS264" s="101">
        <v>0</v>
      </c>
      <c r="AT264" s="102" t="s">
        <v>33</v>
      </c>
      <c r="AU264" s="109" t="s">
        <v>118</v>
      </c>
      <c r="AV264" s="100">
        <v>0</v>
      </c>
      <c r="AW264" s="105"/>
      <c r="AX264" s="106">
        <f t="shared" si="140"/>
        <v>2.8990100941141965</v>
      </c>
      <c r="AY264" s="101">
        <f t="shared" si="141"/>
        <v>188659</v>
      </c>
      <c r="AZ264" s="107"/>
      <c r="BA264" s="94">
        <v>45441.666666666664</v>
      </c>
      <c r="BB264" s="94">
        <v>45441.670138888891</v>
      </c>
      <c r="BC264" s="94">
        <v>45441.677083333336</v>
      </c>
      <c r="BD264" s="94">
        <v>45441.88958333333</v>
      </c>
      <c r="BE264" s="95">
        <f>+BD264-BA264</f>
        <v>0.22291666666569654</v>
      </c>
      <c r="BF264" s="95">
        <v>4.027777777777778E-2</v>
      </c>
      <c r="BG264" s="95">
        <v>2.361111111111111E-2</v>
      </c>
      <c r="BH264" s="95">
        <f t="shared" ref="BH264:BJ266" si="143">+BB264-BA264</f>
        <v>3.4722222262644209E-3</v>
      </c>
      <c r="BI264" s="95">
        <f t="shared" si="143"/>
        <v>6.9444444452528842E-3</v>
      </c>
      <c r="BJ264" s="95">
        <f t="shared" si="143"/>
        <v>0.21249999999417923</v>
      </c>
      <c r="BK264" s="95">
        <f>+BI264+BJ264</f>
        <v>0.21944444443943212</v>
      </c>
      <c r="BL264" s="95">
        <f>+BE264-BH264-BF264-BG264</f>
        <v>0.15555555555054323</v>
      </c>
      <c r="BM264" s="95">
        <f>IF(VALUE(BE264)&lt;=VALUE("05:00"),"00:00",VALUE(BE264)-VALUE("05:00"))</f>
        <v>1.4583333332363196E-2</v>
      </c>
      <c r="BN264" s="110"/>
    </row>
    <row r="265" spans="1:66" s="8" customFormat="1" ht="12.75" customHeight="1" x14ac:dyDescent="0.25">
      <c r="A265" s="150">
        <v>225</v>
      </c>
      <c r="B265" s="150">
        <v>122</v>
      </c>
      <c r="C265" s="90">
        <v>3</v>
      </c>
      <c r="D265" s="90" t="s">
        <v>113</v>
      </c>
      <c r="E265" s="91" t="s">
        <v>366</v>
      </c>
      <c r="F265" s="90" t="s">
        <v>13</v>
      </c>
      <c r="G265" s="90" t="s">
        <v>8</v>
      </c>
      <c r="H265" s="90" t="s">
        <v>131</v>
      </c>
      <c r="I265" s="135" t="s">
        <v>407</v>
      </c>
      <c r="J265" s="151">
        <v>45440</v>
      </c>
      <c r="K265" s="135" t="s">
        <v>117</v>
      </c>
      <c r="L265" s="135">
        <v>282000945</v>
      </c>
      <c r="M265" s="151">
        <v>45442</v>
      </c>
      <c r="N265" s="152">
        <v>45442.104166666664</v>
      </c>
      <c r="O265" s="152">
        <v>45442.104166666664</v>
      </c>
      <c r="P265" s="152">
        <v>45442.111111111109</v>
      </c>
      <c r="Q265" s="152">
        <v>45442.291666666664</v>
      </c>
      <c r="R265" s="114" t="s">
        <v>118</v>
      </c>
      <c r="S265" s="114" t="s">
        <v>118</v>
      </c>
      <c r="T265" s="114"/>
      <c r="U265" s="114"/>
      <c r="V265" s="95">
        <f t="shared" si="138"/>
        <v>0.1875</v>
      </c>
      <c r="W265" s="95">
        <v>0.20833333333333334</v>
      </c>
      <c r="X265" s="95" t="str">
        <f t="shared" si="139"/>
        <v>00:00</v>
      </c>
      <c r="Y265" s="96">
        <v>0</v>
      </c>
      <c r="Z265" s="96">
        <v>57</v>
      </c>
      <c r="AA265" s="96">
        <f t="shared" si="106"/>
        <v>57</v>
      </c>
      <c r="AB265" s="97">
        <f t="shared" si="107"/>
        <v>0</v>
      </c>
      <c r="AC265" s="97">
        <f t="shared" si="108"/>
        <v>3843.9100000000003</v>
      </c>
      <c r="AD265" s="98">
        <v>3843.91</v>
      </c>
      <c r="AE265" s="98">
        <v>3960.4</v>
      </c>
      <c r="AF265" s="98">
        <v>3960.8</v>
      </c>
      <c r="AG265" s="98">
        <f t="shared" si="109"/>
        <v>116.89000000000033</v>
      </c>
      <c r="AH265" s="99">
        <v>1398.7</v>
      </c>
      <c r="AI265" s="100">
        <f t="shared" si="110"/>
        <v>5539970.9600000009</v>
      </c>
      <c r="AJ265" s="100">
        <f t="shared" ref="AJ265:AJ275" si="144">(0*AH265)*2</f>
        <v>0</v>
      </c>
      <c r="AK265" s="100">
        <v>0</v>
      </c>
      <c r="AL265" s="100">
        <v>0</v>
      </c>
      <c r="AM265" s="100">
        <v>0</v>
      </c>
      <c r="AN265" s="100">
        <v>0</v>
      </c>
      <c r="AO265" s="100">
        <v>0</v>
      </c>
      <c r="AP265" s="100">
        <f t="shared" si="136"/>
        <v>276999</v>
      </c>
      <c r="AQ265" s="101">
        <f t="shared" si="137"/>
        <v>5816970</v>
      </c>
      <c r="AR265" s="101">
        <v>0</v>
      </c>
      <c r="AS265" s="101">
        <v>0</v>
      </c>
      <c r="AT265" s="102" t="s">
        <v>33</v>
      </c>
      <c r="AU265" s="109" t="s">
        <v>118</v>
      </c>
      <c r="AV265" s="100">
        <v>0</v>
      </c>
      <c r="AW265" s="105"/>
      <c r="AX265" s="106">
        <f t="shared" si="140"/>
        <v>2.9511714805089961</v>
      </c>
      <c r="AY265" s="101">
        <f t="shared" si="141"/>
        <v>163495</v>
      </c>
      <c r="AZ265" s="107"/>
      <c r="BA265" s="94">
        <v>45442.104166666664</v>
      </c>
      <c r="BB265" s="94">
        <v>45442.111111111109</v>
      </c>
      <c r="BC265" s="94">
        <v>45442.121527777781</v>
      </c>
      <c r="BD265" s="94">
        <v>45442.246527777781</v>
      </c>
      <c r="BE265" s="95">
        <f>+BD265-BA265</f>
        <v>0.14236111111677019</v>
      </c>
      <c r="BF265" s="95">
        <v>0</v>
      </c>
      <c r="BG265" s="95">
        <v>1.0416666666666666E-2</v>
      </c>
      <c r="BH265" s="95">
        <f t="shared" si="143"/>
        <v>6.9444444452528842E-3</v>
      </c>
      <c r="BI265" s="95">
        <f t="shared" si="143"/>
        <v>1.0416666671517305E-2</v>
      </c>
      <c r="BJ265" s="95">
        <f t="shared" si="143"/>
        <v>0.125</v>
      </c>
      <c r="BK265" s="95">
        <f>+BI265+BJ265</f>
        <v>0.13541666667151731</v>
      </c>
      <c r="BL265" s="95">
        <f>+BE265-BH265-BF265-BG265</f>
        <v>0.12500000000485065</v>
      </c>
      <c r="BM265" s="95" t="str">
        <f>IF(VALUE(BE265)&lt;=VALUE("05:00"),"00:00",VALUE(BE265)-VALUE("05:00"))</f>
        <v>00:00</v>
      </c>
      <c r="BN265" s="110"/>
    </row>
    <row r="266" spans="1:66" s="8" customFormat="1" ht="12.75" customHeight="1" x14ac:dyDescent="0.25">
      <c r="A266" s="150">
        <v>226</v>
      </c>
      <c r="B266" s="150">
        <v>123</v>
      </c>
      <c r="C266" s="90">
        <v>12</v>
      </c>
      <c r="D266" s="90" t="s">
        <v>148</v>
      </c>
      <c r="E266" s="91" t="s">
        <v>381</v>
      </c>
      <c r="F266" s="90" t="s">
        <v>16</v>
      </c>
      <c r="G266" s="90" t="s">
        <v>17</v>
      </c>
      <c r="H266" s="90" t="s">
        <v>150</v>
      </c>
      <c r="I266" s="135" t="s">
        <v>408</v>
      </c>
      <c r="J266" s="151">
        <v>45439</v>
      </c>
      <c r="K266" s="135" t="s">
        <v>122</v>
      </c>
      <c r="L266" s="135">
        <v>461000266</v>
      </c>
      <c r="M266" s="151">
        <v>45442</v>
      </c>
      <c r="N266" s="152">
        <v>45442.208333333336</v>
      </c>
      <c r="O266" s="152">
        <v>45442.208333333336</v>
      </c>
      <c r="P266" s="152">
        <v>45442.211805555555</v>
      </c>
      <c r="Q266" s="152">
        <v>45442.40625</v>
      </c>
      <c r="R266" s="114" t="s">
        <v>118</v>
      </c>
      <c r="S266" s="114" t="s">
        <v>118</v>
      </c>
      <c r="T266" s="114"/>
      <c r="U266" s="114"/>
      <c r="V266" s="95">
        <f t="shared" si="138"/>
        <v>0.19791666666424135</v>
      </c>
      <c r="W266" s="95">
        <v>0.20833333333333334</v>
      </c>
      <c r="X266" s="95" t="str">
        <f t="shared" si="139"/>
        <v>00:00</v>
      </c>
      <c r="Y266" s="96">
        <v>0</v>
      </c>
      <c r="Z266" s="96">
        <v>58</v>
      </c>
      <c r="AA266" s="96">
        <f t="shared" si="106"/>
        <v>58</v>
      </c>
      <c r="AB266" s="97">
        <f t="shared" si="107"/>
        <v>0</v>
      </c>
      <c r="AC266" s="97">
        <f t="shared" si="108"/>
        <v>3985.31</v>
      </c>
      <c r="AD266" s="98">
        <v>3985.31</v>
      </c>
      <c r="AE266" s="98">
        <v>4102.3999999999996</v>
      </c>
      <c r="AF266" s="98">
        <v>4027.6</v>
      </c>
      <c r="AG266" s="98">
        <f t="shared" si="109"/>
        <v>42.289999999999964</v>
      </c>
      <c r="AH266" s="99">
        <v>672.5</v>
      </c>
      <c r="AI266" s="100">
        <f t="shared" si="110"/>
        <v>2708561</v>
      </c>
      <c r="AJ266" s="100">
        <f t="shared" si="144"/>
        <v>0</v>
      </c>
      <c r="AK266" s="100">
        <v>0</v>
      </c>
      <c r="AL266" s="100">
        <v>24140</v>
      </c>
      <c r="AM266" s="100">
        <v>0</v>
      </c>
      <c r="AN266" s="100">
        <v>0</v>
      </c>
      <c r="AO266" s="100">
        <v>0</v>
      </c>
      <c r="AP266" s="100">
        <f t="shared" si="136"/>
        <v>136636</v>
      </c>
      <c r="AQ266" s="101">
        <f t="shared" si="137"/>
        <v>2869337</v>
      </c>
      <c r="AR266" s="101">
        <v>0</v>
      </c>
      <c r="AS266" s="101">
        <v>0</v>
      </c>
      <c r="AT266" s="102" t="s">
        <v>33</v>
      </c>
      <c r="AU266" s="109"/>
      <c r="AV266" s="100">
        <f>18.55-12.55</f>
        <v>6</v>
      </c>
      <c r="AW266" s="105"/>
      <c r="AX266" s="106">
        <f t="shared" si="140"/>
        <v>1.0500049657364179</v>
      </c>
      <c r="AY266" s="101">
        <f t="shared" si="141"/>
        <v>28441</v>
      </c>
      <c r="AZ266" s="107"/>
      <c r="BA266" s="114">
        <v>45442.208333333336</v>
      </c>
      <c r="BB266" s="114">
        <v>45442.211805555555</v>
      </c>
      <c r="BC266" s="114">
        <v>45442.253472222219</v>
      </c>
      <c r="BD266" s="114">
        <v>45442.38958333333</v>
      </c>
      <c r="BE266" s="95">
        <f>+BD266-BA266</f>
        <v>0.18124999999417923</v>
      </c>
      <c r="BF266" s="95">
        <v>0</v>
      </c>
      <c r="BG266" s="95">
        <v>4.6527777777777779E-2</v>
      </c>
      <c r="BH266" s="95">
        <f t="shared" si="143"/>
        <v>3.4722222189884633E-3</v>
      </c>
      <c r="BI266" s="95">
        <f t="shared" si="143"/>
        <v>4.1666666664241347E-2</v>
      </c>
      <c r="BJ266" s="95">
        <f t="shared" si="143"/>
        <v>0.13611111111094942</v>
      </c>
      <c r="BK266" s="95">
        <f>+BI266+BJ266</f>
        <v>0.17777777777519077</v>
      </c>
      <c r="BL266" s="95">
        <f>+BE266-BH266-BF266-BG266</f>
        <v>0.13124999999741299</v>
      </c>
      <c r="BM266" s="95" t="str">
        <f>IF(VALUE(BE266)&lt;=VALUE("05:00"),"00:00",VALUE(BE266)-VALUE("05:00"))</f>
        <v>00:00</v>
      </c>
      <c r="BN266" s="110"/>
    </row>
    <row r="267" spans="1:66" s="8" customFormat="1" ht="12.75" customHeight="1" x14ac:dyDescent="0.25">
      <c r="A267" s="150">
        <v>228</v>
      </c>
      <c r="B267" s="150">
        <v>125</v>
      </c>
      <c r="C267" s="90">
        <v>4</v>
      </c>
      <c r="D267" s="90" t="s">
        <v>113</v>
      </c>
      <c r="E267" s="91" t="s">
        <v>313</v>
      </c>
      <c r="F267" s="90" t="s">
        <v>11</v>
      </c>
      <c r="G267" s="90" t="s">
        <v>12</v>
      </c>
      <c r="H267" s="90" t="s">
        <v>115</v>
      </c>
      <c r="I267" s="135" t="s">
        <v>409</v>
      </c>
      <c r="J267" s="151">
        <v>45442</v>
      </c>
      <c r="K267" s="135" t="s">
        <v>122</v>
      </c>
      <c r="L267" s="135">
        <v>282000949</v>
      </c>
      <c r="M267" s="151">
        <v>45443</v>
      </c>
      <c r="N267" s="152">
        <v>45442.6875</v>
      </c>
      <c r="O267" s="152">
        <v>45442.666666666664</v>
      </c>
      <c r="P267" s="152">
        <v>45442.722222222219</v>
      </c>
      <c r="Q267" s="152">
        <v>45442.875</v>
      </c>
      <c r="R267" s="114">
        <v>45442.6875</v>
      </c>
      <c r="S267" s="114">
        <v>45442.979166666664</v>
      </c>
      <c r="T267" s="114"/>
      <c r="U267" s="114"/>
      <c r="V267" s="95">
        <f t="shared" si="138"/>
        <v>0.20833333333575865</v>
      </c>
      <c r="W267" s="95">
        <v>0.20833333333333334</v>
      </c>
      <c r="X267" s="95">
        <f t="shared" si="139"/>
        <v>2.4253099528692701E-12</v>
      </c>
      <c r="Y267" s="96">
        <v>0</v>
      </c>
      <c r="Z267" s="96">
        <v>58</v>
      </c>
      <c r="AA267" s="96">
        <f t="shared" si="106"/>
        <v>58</v>
      </c>
      <c r="AB267" s="97">
        <f t="shared" si="107"/>
        <v>0</v>
      </c>
      <c r="AC267" s="97">
        <f t="shared" si="108"/>
        <v>4005.9</v>
      </c>
      <c r="AD267" s="98">
        <v>4005.9</v>
      </c>
      <c r="AE267" s="98">
        <v>4037.6</v>
      </c>
      <c r="AF267" s="98">
        <v>4054.6</v>
      </c>
      <c r="AG267" s="98">
        <f t="shared" si="109"/>
        <v>48.699999999999818</v>
      </c>
      <c r="AH267" s="99">
        <v>1586.7</v>
      </c>
      <c r="AI267" s="100">
        <f t="shared" si="110"/>
        <v>6433433.8200000003</v>
      </c>
      <c r="AJ267" s="100">
        <f t="shared" si="144"/>
        <v>0</v>
      </c>
      <c r="AK267" s="100">
        <v>0</v>
      </c>
      <c r="AL267" s="100">
        <v>48280</v>
      </c>
      <c r="AM267" s="100">
        <v>0</v>
      </c>
      <c r="AN267" s="100">
        <v>0</v>
      </c>
      <c r="AO267" s="100">
        <f>IFERROR(AF267*20+(((AJ267/AH267)/2)*20),0)</f>
        <v>81092</v>
      </c>
      <c r="AP267" s="100">
        <f t="shared" si="136"/>
        <v>328141</v>
      </c>
      <c r="AQ267" s="101">
        <f t="shared" si="137"/>
        <v>6890947</v>
      </c>
      <c r="AR267" s="101">
        <v>0</v>
      </c>
      <c r="AS267" s="101">
        <v>0</v>
      </c>
      <c r="AT267" s="102" t="s">
        <v>33</v>
      </c>
      <c r="AU267" s="109"/>
      <c r="AV267" s="100">
        <f>25.07-14.07</f>
        <v>11</v>
      </c>
      <c r="AW267" s="105"/>
      <c r="AX267" s="106">
        <f t="shared" si="140"/>
        <v>1.2011049178710556</v>
      </c>
      <c r="AY267" s="101">
        <f t="shared" si="141"/>
        <v>77273</v>
      </c>
      <c r="AZ267" s="107"/>
      <c r="BA267" s="94">
        <v>45442.6875</v>
      </c>
      <c r="BB267" s="94">
        <v>45442.722222222219</v>
      </c>
      <c r="BC267" s="94">
        <v>45442.729166666664</v>
      </c>
      <c r="BD267" s="94">
        <v>45442.969444444447</v>
      </c>
      <c r="BE267" s="95">
        <f>+BD267-BA267</f>
        <v>0.28194444444670808</v>
      </c>
      <c r="BF267" s="95">
        <v>6.458333333333334E-2</v>
      </c>
      <c r="BG267" s="95">
        <v>6.9444444444444441E-3</v>
      </c>
      <c r="BH267" s="95">
        <f t="shared" ref="BH267:BJ269" si="145">+BB267-BA267</f>
        <v>3.4722222218988463E-2</v>
      </c>
      <c r="BI267" s="95">
        <f t="shared" si="145"/>
        <v>6.9444444452528842E-3</v>
      </c>
      <c r="BJ267" s="95">
        <f t="shared" si="145"/>
        <v>0.24027777778246673</v>
      </c>
      <c r="BK267" s="95">
        <f>+BI267+BJ267</f>
        <v>0.24722222222771961</v>
      </c>
      <c r="BL267" s="95">
        <f>+BE267-BH267-BF267-BG267</f>
        <v>0.17569444444994184</v>
      </c>
      <c r="BM267" s="95">
        <f>IF(VALUE(BE267)&lt;=VALUE("05:00"),"00:00",VALUE(BE267)-VALUE("05:00"))</f>
        <v>7.3611111113374733E-2</v>
      </c>
      <c r="BN267" s="110"/>
    </row>
    <row r="268" spans="1:66" s="8" customFormat="1" ht="12.75" customHeight="1" x14ac:dyDescent="0.25">
      <c r="A268" s="150">
        <v>229</v>
      </c>
      <c r="B268" s="150">
        <v>126</v>
      </c>
      <c r="C268" s="90">
        <v>10</v>
      </c>
      <c r="D268" s="90" t="s">
        <v>113</v>
      </c>
      <c r="E268" s="91" t="s">
        <v>296</v>
      </c>
      <c r="F268" s="90" t="s">
        <v>32</v>
      </c>
      <c r="G268" s="90" t="s">
        <v>15</v>
      </c>
      <c r="H268" s="90" t="s">
        <v>201</v>
      </c>
      <c r="I268" s="135" t="s">
        <v>410</v>
      </c>
      <c r="J268" s="151">
        <v>45433</v>
      </c>
      <c r="K268" s="135" t="s">
        <v>117</v>
      </c>
      <c r="L268" s="135">
        <v>262009729</v>
      </c>
      <c r="M268" s="151">
        <v>45443</v>
      </c>
      <c r="N268" s="152">
        <v>45442.791666666664</v>
      </c>
      <c r="O268" s="152">
        <v>45442.791666666664</v>
      </c>
      <c r="P268" s="152">
        <v>45442.795138888891</v>
      </c>
      <c r="Q268" s="152">
        <v>45443.083333333336</v>
      </c>
      <c r="R268" s="114" t="s">
        <v>118</v>
      </c>
      <c r="S268" s="114">
        <v>45443.166666666664</v>
      </c>
      <c r="T268" s="114"/>
      <c r="U268" s="114"/>
      <c r="V268" s="95">
        <f t="shared" si="138"/>
        <v>0.29166666667151731</v>
      </c>
      <c r="W268" s="95">
        <v>0.20833333333333334</v>
      </c>
      <c r="X268" s="95">
        <f t="shared" si="139"/>
        <v>8.3333333338183962E-2</v>
      </c>
      <c r="Y268" s="96">
        <v>0</v>
      </c>
      <c r="Z268" s="96">
        <v>59</v>
      </c>
      <c r="AA268" s="96">
        <f t="shared" si="106"/>
        <v>59</v>
      </c>
      <c r="AB268" s="97">
        <f t="shared" si="107"/>
        <v>0</v>
      </c>
      <c r="AC268" s="97">
        <f t="shared" si="108"/>
        <v>3997.5000000000005</v>
      </c>
      <c r="AD268" s="98">
        <v>3997.5</v>
      </c>
      <c r="AE268" s="98">
        <v>4105.2</v>
      </c>
      <c r="AF268" s="98">
        <v>4106.6000000000004</v>
      </c>
      <c r="AG268" s="98">
        <f t="shared" si="109"/>
        <v>109.10000000000036</v>
      </c>
      <c r="AH268" s="99">
        <v>2230.6999999999998</v>
      </c>
      <c r="AI268" s="100">
        <f t="shared" si="110"/>
        <v>9160592.6199999992</v>
      </c>
      <c r="AJ268" s="100">
        <f t="shared" si="144"/>
        <v>0</v>
      </c>
      <c r="AK268" s="100">
        <v>0</v>
      </c>
      <c r="AL268" s="100">
        <v>0</v>
      </c>
      <c r="AM268" s="100">
        <v>0</v>
      </c>
      <c r="AN268" s="100">
        <v>0</v>
      </c>
      <c r="AO268" s="100">
        <v>0</v>
      </c>
      <c r="AP268" s="100">
        <f t="shared" si="136"/>
        <v>458030</v>
      </c>
      <c r="AQ268" s="101">
        <f t="shared" si="137"/>
        <v>9618623</v>
      </c>
      <c r="AR268" s="101">
        <v>0</v>
      </c>
      <c r="AS268" s="101">
        <v>0</v>
      </c>
      <c r="AT268" s="102" t="s">
        <v>33</v>
      </c>
      <c r="AU268" s="109" t="s">
        <v>118</v>
      </c>
      <c r="AV268" s="100">
        <v>0</v>
      </c>
      <c r="AW268" s="105"/>
      <c r="AX268" s="106">
        <f t="shared" si="140"/>
        <v>2.6566989723859238</v>
      </c>
      <c r="AY268" s="101">
        <f t="shared" si="141"/>
        <v>243370</v>
      </c>
      <c r="AZ268" s="107"/>
      <c r="BA268" s="94">
        <v>45442.791666666664</v>
      </c>
      <c r="BB268" s="94">
        <v>45442.795138888891</v>
      </c>
      <c r="BC268" s="94">
        <v>45443.009722222225</v>
      </c>
      <c r="BD268" s="94">
        <v>45443.160416666666</v>
      </c>
      <c r="BE268" s="95">
        <f>+BD268-BA268</f>
        <v>0.36875000000145519</v>
      </c>
      <c r="BF268" s="95">
        <v>1.3194444444444444E-2</v>
      </c>
      <c r="BG268" s="95">
        <v>0.25486111111111109</v>
      </c>
      <c r="BH268" s="95">
        <f t="shared" si="145"/>
        <v>3.4722222262644209E-3</v>
      </c>
      <c r="BI268" s="95">
        <f t="shared" si="145"/>
        <v>0.21458333333430346</v>
      </c>
      <c r="BJ268" s="95">
        <f t="shared" si="145"/>
        <v>0.15069444444088731</v>
      </c>
      <c r="BK268" s="95">
        <f>+BI268+BJ268</f>
        <v>0.36527777777519077</v>
      </c>
      <c r="BL268" s="95">
        <f>+BE268-BH268-BF268-BG268</f>
        <v>9.7222222219635224E-2</v>
      </c>
      <c r="BM268" s="95">
        <f>IF(VALUE(BE268)&lt;=VALUE("05:00"),"00:00",VALUE(BE268)-VALUE("05:00"))</f>
        <v>0.16041666666812185</v>
      </c>
      <c r="BN268" s="110"/>
    </row>
    <row r="269" spans="1:66" s="8" customFormat="1" ht="12.75" customHeight="1" x14ac:dyDescent="0.25">
      <c r="A269" s="150">
        <v>230</v>
      </c>
      <c r="B269" s="150">
        <v>127</v>
      </c>
      <c r="C269" s="90">
        <v>4</v>
      </c>
      <c r="D269" s="90" t="s">
        <v>113</v>
      </c>
      <c r="E269" s="91" t="s">
        <v>366</v>
      </c>
      <c r="F269" s="90" t="s">
        <v>13</v>
      </c>
      <c r="G269" s="90" t="s">
        <v>8</v>
      </c>
      <c r="H269" s="90" t="s">
        <v>131</v>
      </c>
      <c r="I269" s="135" t="s">
        <v>411</v>
      </c>
      <c r="J269" s="151">
        <v>45440</v>
      </c>
      <c r="K269" s="135" t="s">
        <v>122</v>
      </c>
      <c r="L269" s="135">
        <v>282000950</v>
      </c>
      <c r="M269" s="151">
        <v>45443</v>
      </c>
      <c r="N269" s="152">
        <v>45443.197916666664</v>
      </c>
      <c r="O269" s="152">
        <v>45443.197916666664</v>
      </c>
      <c r="P269" s="152">
        <v>45443.21875</v>
      </c>
      <c r="Q269" s="152">
        <v>45443.40625</v>
      </c>
      <c r="R269" s="114" t="s">
        <v>118</v>
      </c>
      <c r="S269" s="114" t="s">
        <v>118</v>
      </c>
      <c r="T269" s="114"/>
      <c r="U269" s="114"/>
      <c r="V269" s="95">
        <f t="shared" si="138"/>
        <v>0.20833333333575865</v>
      </c>
      <c r="W269" s="95">
        <v>0.20833333333333334</v>
      </c>
      <c r="X269" s="95">
        <f t="shared" si="139"/>
        <v>2.4253099528692701E-12</v>
      </c>
      <c r="Y269" s="96">
        <v>0</v>
      </c>
      <c r="Z269" s="96">
        <v>59</v>
      </c>
      <c r="AA269" s="96">
        <f t="shared" si="106"/>
        <v>59</v>
      </c>
      <c r="AB269" s="97">
        <f t="shared" si="107"/>
        <v>0</v>
      </c>
      <c r="AC269" s="97">
        <f t="shared" si="108"/>
        <v>3990.09</v>
      </c>
      <c r="AD269" s="98">
        <v>3990.09</v>
      </c>
      <c r="AE269" s="98">
        <v>4102.5</v>
      </c>
      <c r="AF269" s="98">
        <v>4104.2</v>
      </c>
      <c r="AG269" s="98">
        <f t="shared" si="109"/>
        <v>114.10999999999967</v>
      </c>
      <c r="AH269" s="99">
        <v>1398.7</v>
      </c>
      <c r="AI269" s="100">
        <f t="shared" si="110"/>
        <v>5740544.54</v>
      </c>
      <c r="AJ269" s="100">
        <f t="shared" si="144"/>
        <v>0</v>
      </c>
      <c r="AK269" s="100">
        <v>0</v>
      </c>
      <c r="AL269" s="100">
        <v>24290</v>
      </c>
      <c r="AM269" s="100">
        <v>0</v>
      </c>
      <c r="AN269" s="100">
        <v>0</v>
      </c>
      <c r="AO269" s="100">
        <v>0</v>
      </c>
      <c r="AP269" s="100">
        <f t="shared" si="136"/>
        <v>288242</v>
      </c>
      <c r="AQ269" s="101">
        <f t="shared" si="137"/>
        <v>6053077</v>
      </c>
      <c r="AR269" s="101">
        <v>0</v>
      </c>
      <c r="AS269" s="101">
        <v>0</v>
      </c>
      <c r="AT269" s="102" t="s">
        <v>33</v>
      </c>
      <c r="AU269" s="109"/>
      <c r="AV269" s="100">
        <f>2.2-1.2</f>
        <v>1.0000000000000002</v>
      </c>
      <c r="AW269" s="105"/>
      <c r="AX269" s="106">
        <f t="shared" si="140"/>
        <v>2.7803225963646918</v>
      </c>
      <c r="AY269" s="101">
        <f t="shared" si="141"/>
        <v>159606</v>
      </c>
      <c r="AZ269" s="107"/>
      <c r="BA269" s="114">
        <v>45443.197916666664</v>
      </c>
      <c r="BB269" s="114">
        <v>45443.211805555555</v>
      </c>
      <c r="BC269" s="114">
        <v>45443.211805555555</v>
      </c>
      <c r="BD269" s="114">
        <v>45443.395833333336</v>
      </c>
      <c r="BE269" s="95">
        <f>+BD269-BA269</f>
        <v>0.19791666667151731</v>
      </c>
      <c r="BF269" s="95">
        <v>0</v>
      </c>
      <c r="BG269" s="95">
        <v>5.4166666666666669E-2</v>
      </c>
      <c r="BH269" s="95">
        <f t="shared" si="145"/>
        <v>1.3888888890505768E-2</v>
      </c>
      <c r="BI269" s="95">
        <f t="shared" si="145"/>
        <v>0</v>
      </c>
      <c r="BJ269" s="95">
        <f t="shared" si="145"/>
        <v>0.18402777778101154</v>
      </c>
      <c r="BK269" s="95">
        <f>+BI269+BJ269</f>
        <v>0.18402777778101154</v>
      </c>
      <c r="BL269" s="95">
        <f>+BE269-BH269-BF269-BG269</f>
        <v>0.12986111111434487</v>
      </c>
      <c r="BM269" s="95" t="str">
        <f>IF(VALUE(BE269)&lt;=VALUE("05:00"),"00:00",VALUE(BE269)-VALUE("05:00"))</f>
        <v>00:00</v>
      </c>
      <c r="BN269" s="110"/>
    </row>
    <row r="270" spans="1:66" s="8" customFormat="1" ht="12.75" customHeight="1" x14ac:dyDescent="0.25">
      <c r="A270" s="150">
        <v>232</v>
      </c>
      <c r="B270" s="150">
        <v>129</v>
      </c>
      <c r="C270" s="90">
        <v>10</v>
      </c>
      <c r="D270" s="90" t="s">
        <v>113</v>
      </c>
      <c r="E270" s="156" t="s">
        <v>299</v>
      </c>
      <c r="F270" s="90" t="s">
        <v>7</v>
      </c>
      <c r="G270" s="90" t="s">
        <v>8</v>
      </c>
      <c r="H270" s="90" t="s">
        <v>412</v>
      </c>
      <c r="I270" s="135" t="s">
        <v>413</v>
      </c>
      <c r="J270" s="151">
        <v>45442</v>
      </c>
      <c r="K270" s="135" t="s">
        <v>122</v>
      </c>
      <c r="L270" s="135">
        <v>282000951</v>
      </c>
      <c r="M270" s="151">
        <v>45444</v>
      </c>
      <c r="N270" s="152">
        <v>45443.59375</v>
      </c>
      <c r="O270" s="152">
        <v>45443.59375</v>
      </c>
      <c r="P270" s="152">
        <v>45443.597222222219</v>
      </c>
      <c r="Q270" s="152">
        <v>45443.739583333336</v>
      </c>
      <c r="R270" s="114" t="s">
        <v>118</v>
      </c>
      <c r="S270" s="114" t="s">
        <v>118</v>
      </c>
      <c r="T270" s="114"/>
      <c r="U270" s="114"/>
      <c r="V270" s="95">
        <f t="shared" si="138"/>
        <v>0.14583333333575865</v>
      </c>
      <c r="W270" s="95">
        <v>0.20833333333333334</v>
      </c>
      <c r="X270" s="95" t="str">
        <f t="shared" si="139"/>
        <v>00:00</v>
      </c>
      <c r="Y270" s="96">
        <v>0</v>
      </c>
      <c r="Z270" s="96">
        <v>59</v>
      </c>
      <c r="AA270" s="96">
        <f t="shared" si="106"/>
        <v>59</v>
      </c>
      <c r="AB270" s="97">
        <f t="shared" si="107"/>
        <v>0</v>
      </c>
      <c r="AC270" s="97">
        <f t="shared" si="108"/>
        <v>3897.4300000000003</v>
      </c>
      <c r="AD270" s="98">
        <v>3897.43</v>
      </c>
      <c r="AE270" s="98">
        <v>4085.9</v>
      </c>
      <c r="AF270" s="98">
        <v>4086</v>
      </c>
      <c r="AG270" s="98">
        <f t="shared" si="109"/>
        <v>188.57000000000016</v>
      </c>
      <c r="AH270" s="99">
        <v>2025.7</v>
      </c>
      <c r="AI270" s="100">
        <f t="shared" si="110"/>
        <v>8277010.2000000002</v>
      </c>
      <c r="AJ270" s="100">
        <f t="shared" si="144"/>
        <v>0</v>
      </c>
      <c r="AK270" s="100">
        <v>0</v>
      </c>
      <c r="AL270" s="100">
        <v>0</v>
      </c>
      <c r="AM270" s="100">
        <v>0</v>
      </c>
      <c r="AN270" s="100">
        <v>0</v>
      </c>
      <c r="AO270" s="100">
        <f>IFERROR(AF270*20+(((AJ270/AH270)/2)*20),0)</f>
        <v>81720</v>
      </c>
      <c r="AP270" s="100">
        <f t="shared" si="136"/>
        <v>417937</v>
      </c>
      <c r="AQ270" s="101">
        <f t="shared" si="137"/>
        <v>8776668</v>
      </c>
      <c r="AR270" s="101">
        <v>0</v>
      </c>
      <c r="AS270" s="101">
        <v>0</v>
      </c>
      <c r="AT270" s="102" t="s">
        <v>33</v>
      </c>
      <c r="AU270" s="109" t="s">
        <v>118</v>
      </c>
      <c r="AV270" s="100">
        <v>0</v>
      </c>
      <c r="AW270" s="105"/>
      <c r="AX270" s="106">
        <f t="shared" si="140"/>
        <v>4.6150269211943264</v>
      </c>
      <c r="AY270" s="101">
        <f t="shared" si="141"/>
        <v>381987</v>
      </c>
      <c r="AZ270" s="107"/>
      <c r="BA270" s="94">
        <v>45443.59375</v>
      </c>
      <c r="BB270" s="94">
        <v>45443.597222222219</v>
      </c>
      <c r="BC270" s="94">
        <v>45443.618055555555</v>
      </c>
      <c r="BD270" s="94">
        <v>45443.736111111109</v>
      </c>
      <c r="BE270" s="95">
        <f>+BD270-BA270</f>
        <v>0.14236111110949423</v>
      </c>
      <c r="BF270" s="95">
        <v>2.0833333333333332E-2</v>
      </c>
      <c r="BG270" s="95">
        <v>0</v>
      </c>
      <c r="BH270" s="95">
        <f t="shared" ref="BH270:BJ274" si="146">+BB270-BA270</f>
        <v>3.4722222189884633E-3</v>
      </c>
      <c r="BI270" s="95">
        <f t="shared" si="146"/>
        <v>2.0833333335758653E-2</v>
      </c>
      <c r="BJ270" s="95">
        <f t="shared" si="146"/>
        <v>0.11805555555474712</v>
      </c>
      <c r="BK270" s="95">
        <f>+BI270+BJ270</f>
        <v>0.13888888889050577</v>
      </c>
      <c r="BL270" s="95">
        <f>+BE270-BH270-BF270-BG270</f>
        <v>0.11805555555717244</v>
      </c>
      <c r="BM270" s="95" t="str">
        <f>IF(VALUE(BE270)&lt;=VALUE("05:00"),"00:00",VALUE(BE270)-VALUE("05:00"))</f>
        <v>00:00</v>
      </c>
      <c r="BN270" s="110"/>
    </row>
    <row r="271" spans="1:66" s="8" customFormat="1" ht="12.75" customHeight="1" x14ac:dyDescent="0.25">
      <c r="A271" s="150">
        <v>233</v>
      </c>
      <c r="B271" s="150">
        <v>130</v>
      </c>
      <c r="C271" s="90">
        <v>11</v>
      </c>
      <c r="D271" s="90" t="s">
        <v>113</v>
      </c>
      <c r="E271" s="91" t="s">
        <v>296</v>
      </c>
      <c r="F271" s="90" t="s">
        <v>32</v>
      </c>
      <c r="G271" s="90" t="s">
        <v>15</v>
      </c>
      <c r="H271" s="90" t="s">
        <v>213</v>
      </c>
      <c r="I271" s="135" t="s">
        <v>414</v>
      </c>
      <c r="J271" s="151">
        <v>45432</v>
      </c>
      <c r="K271" s="135" t="s">
        <v>117</v>
      </c>
      <c r="L271" s="135">
        <v>262009733</v>
      </c>
      <c r="M271" s="151">
        <v>45444</v>
      </c>
      <c r="N271" s="152">
        <v>45443.791666666664</v>
      </c>
      <c r="O271" s="152">
        <v>45443.791666666664</v>
      </c>
      <c r="P271" s="152">
        <v>45443.795138888891</v>
      </c>
      <c r="Q271" s="152">
        <v>45443.993055555555</v>
      </c>
      <c r="R271" s="114" t="s">
        <v>118</v>
      </c>
      <c r="S271" s="114" t="s">
        <v>118</v>
      </c>
      <c r="T271" s="114"/>
      <c r="U271" s="114"/>
      <c r="V271" s="95">
        <f t="shared" si="138"/>
        <v>0.20138888889050577</v>
      </c>
      <c r="W271" s="95">
        <v>0.20833333333333334</v>
      </c>
      <c r="X271" s="95" t="str">
        <f t="shared" si="139"/>
        <v>00:00</v>
      </c>
      <c r="Y271" s="96">
        <v>0</v>
      </c>
      <c r="Z271" s="96">
        <v>59</v>
      </c>
      <c r="AA271" s="96">
        <f t="shared" si="106"/>
        <v>59</v>
      </c>
      <c r="AB271" s="97">
        <f t="shared" si="107"/>
        <v>0</v>
      </c>
      <c r="AC271" s="97">
        <f t="shared" si="108"/>
        <v>4005.1499999999996</v>
      </c>
      <c r="AD271" s="98">
        <v>4005.15</v>
      </c>
      <c r="AE271" s="98">
        <v>4090.7</v>
      </c>
      <c r="AF271" s="98">
        <v>4091</v>
      </c>
      <c r="AG271" s="98">
        <f t="shared" si="109"/>
        <v>85.849999999999909</v>
      </c>
      <c r="AH271" s="99">
        <v>2329.4</v>
      </c>
      <c r="AI271" s="100">
        <f t="shared" si="110"/>
        <v>9529575.4000000004</v>
      </c>
      <c r="AJ271" s="100">
        <f t="shared" si="144"/>
        <v>0</v>
      </c>
      <c r="AK271" s="100">
        <v>0</v>
      </c>
      <c r="AL271" s="100">
        <v>0</v>
      </c>
      <c r="AM271" s="100">
        <v>0</v>
      </c>
      <c r="AN271" s="100">
        <v>0</v>
      </c>
      <c r="AO271" s="100">
        <v>0</v>
      </c>
      <c r="AP271" s="100">
        <f t="shared" si="136"/>
        <v>476479</v>
      </c>
      <c r="AQ271" s="101">
        <f t="shared" si="137"/>
        <v>10006055</v>
      </c>
      <c r="AR271" s="101">
        <v>0</v>
      </c>
      <c r="AS271" s="101">
        <v>0</v>
      </c>
      <c r="AT271" s="102" t="s">
        <v>33</v>
      </c>
      <c r="AU271" s="109" t="s">
        <v>118</v>
      </c>
      <c r="AV271" s="100">
        <v>0</v>
      </c>
      <c r="AW271" s="105"/>
      <c r="AX271" s="106">
        <f t="shared" si="140"/>
        <v>2.0985089220239526</v>
      </c>
      <c r="AY271" s="101">
        <f t="shared" si="141"/>
        <v>199979</v>
      </c>
      <c r="AZ271" s="107"/>
      <c r="BA271" s="94">
        <v>45443.791666666664</v>
      </c>
      <c r="BB271" s="94">
        <v>45443.795138888891</v>
      </c>
      <c r="BC271" s="94">
        <v>45443.815972222219</v>
      </c>
      <c r="BD271" s="94">
        <v>45444.008333333331</v>
      </c>
      <c r="BE271" s="95">
        <f>+BD271-BA271</f>
        <v>0.21666666666715173</v>
      </c>
      <c r="BF271" s="95">
        <v>3.0555555555555555E-2</v>
      </c>
      <c r="BG271" s="95">
        <v>0.05</v>
      </c>
      <c r="BH271" s="95">
        <f t="shared" si="146"/>
        <v>3.4722222262644209E-3</v>
      </c>
      <c r="BI271" s="95">
        <f t="shared" si="146"/>
        <v>2.0833333328482695E-2</v>
      </c>
      <c r="BJ271" s="95">
        <f t="shared" si="146"/>
        <v>0.19236111111240461</v>
      </c>
      <c r="BK271" s="95">
        <f>+BI271+BJ271</f>
        <v>0.21319444444088731</v>
      </c>
      <c r="BL271" s="95">
        <f>+BE271-BH271-BF271-BG271</f>
        <v>0.13263888888533176</v>
      </c>
      <c r="BM271" s="95">
        <f>IF(VALUE(BE271)&lt;=VALUE("05:00"),"00:00",VALUE(BE271)-VALUE("05:00"))</f>
        <v>8.3333333338183879E-3</v>
      </c>
      <c r="BN271" s="110"/>
    </row>
    <row r="272" spans="1:66" s="8" customFormat="1" ht="12.75" customHeight="1" x14ac:dyDescent="0.25">
      <c r="A272" s="150">
        <v>234</v>
      </c>
      <c r="B272" s="150">
        <v>131</v>
      </c>
      <c r="C272" s="90">
        <v>11</v>
      </c>
      <c r="D272" s="90" t="s">
        <v>113</v>
      </c>
      <c r="E272" s="91" t="s">
        <v>299</v>
      </c>
      <c r="F272" s="90" t="s">
        <v>7</v>
      </c>
      <c r="G272" s="90" t="s">
        <v>8</v>
      </c>
      <c r="H272" s="90" t="s">
        <v>412</v>
      </c>
      <c r="I272" s="135" t="s">
        <v>415</v>
      </c>
      <c r="J272" s="151">
        <v>45442</v>
      </c>
      <c r="K272" s="135" t="s">
        <v>122</v>
      </c>
      <c r="L272" s="135">
        <v>282000952</v>
      </c>
      <c r="M272" s="151">
        <v>45444</v>
      </c>
      <c r="N272" s="152">
        <v>45444.010416666664</v>
      </c>
      <c r="O272" s="152">
        <v>45444.010416666664</v>
      </c>
      <c r="P272" s="152">
        <v>45444.020833333336</v>
      </c>
      <c r="Q272" s="152">
        <v>45444.208333333336</v>
      </c>
      <c r="R272" s="114" t="s">
        <v>118</v>
      </c>
      <c r="S272" s="114" t="s">
        <v>118</v>
      </c>
      <c r="T272" s="114">
        <v>45444.326388888891</v>
      </c>
      <c r="U272" s="114">
        <v>45444.45416666667</v>
      </c>
      <c r="V272" s="95">
        <f t="shared" si="138"/>
        <v>0.19791666667151731</v>
      </c>
      <c r="W272" s="95">
        <v>0.20833333333333334</v>
      </c>
      <c r="X272" s="95" t="str">
        <f t="shared" si="139"/>
        <v>00:00</v>
      </c>
      <c r="Y272" s="96">
        <v>0</v>
      </c>
      <c r="Z272" s="96">
        <v>58</v>
      </c>
      <c r="AA272" s="96">
        <f t="shared" si="106"/>
        <v>58</v>
      </c>
      <c r="AB272" s="97">
        <f t="shared" si="107"/>
        <v>0</v>
      </c>
      <c r="AC272" s="97">
        <f t="shared" si="108"/>
        <v>3876.43</v>
      </c>
      <c r="AD272" s="98">
        <v>3876.43</v>
      </c>
      <c r="AE272" s="98">
        <v>4030.4</v>
      </c>
      <c r="AF272" s="98">
        <v>4030.4</v>
      </c>
      <c r="AG272" s="98">
        <f t="shared" si="109"/>
        <v>153.97000000000025</v>
      </c>
      <c r="AH272" s="99">
        <v>2025.7</v>
      </c>
      <c r="AI272" s="100">
        <f t="shared" si="110"/>
        <v>8164381.2800000003</v>
      </c>
      <c r="AJ272" s="100">
        <f t="shared" si="144"/>
        <v>0</v>
      </c>
      <c r="AK272" s="100">
        <v>0</v>
      </c>
      <c r="AL272" s="100">
        <v>0</v>
      </c>
      <c r="AM272" s="100">
        <v>0</v>
      </c>
      <c r="AN272" s="100">
        <v>0</v>
      </c>
      <c r="AO272" s="100">
        <f>IFERROR(AF272*20+(((AJ272/AH272)/2)*20),0)</f>
        <v>80608</v>
      </c>
      <c r="AP272" s="100">
        <f t="shared" si="136"/>
        <v>412250</v>
      </c>
      <c r="AQ272" s="101">
        <f t="shared" si="137"/>
        <v>8657240</v>
      </c>
      <c r="AR272" s="101">
        <v>0</v>
      </c>
      <c r="AS272" s="101">
        <v>0</v>
      </c>
      <c r="AT272" s="102" t="s">
        <v>33</v>
      </c>
      <c r="AU272" s="109" t="s">
        <v>118</v>
      </c>
      <c r="AV272" s="100">
        <v>0</v>
      </c>
      <c r="AW272" s="105"/>
      <c r="AX272" s="106">
        <f t="shared" si="140"/>
        <v>3.8202163556967115</v>
      </c>
      <c r="AY272" s="101">
        <f t="shared" si="141"/>
        <v>311898</v>
      </c>
      <c r="AZ272" s="107"/>
      <c r="BA272" s="94">
        <v>45444.010416666664</v>
      </c>
      <c r="BB272" s="94">
        <v>45444.020833333336</v>
      </c>
      <c r="BC272" s="94">
        <v>45444.055555555555</v>
      </c>
      <c r="BD272" s="94">
        <v>45444.171527777777</v>
      </c>
      <c r="BE272" s="95">
        <f>+BD272-BA272</f>
        <v>0.16111111111240461</v>
      </c>
      <c r="BF272" s="95">
        <v>0</v>
      </c>
      <c r="BG272" s="95">
        <v>3.4722222222222224E-2</v>
      </c>
      <c r="BH272" s="95">
        <f t="shared" si="146"/>
        <v>1.0416666671517305E-2</v>
      </c>
      <c r="BI272" s="95">
        <f t="shared" si="146"/>
        <v>3.4722222218988463E-2</v>
      </c>
      <c r="BJ272" s="95">
        <f t="shared" si="146"/>
        <v>0.11597222222189885</v>
      </c>
      <c r="BK272" s="95">
        <f>+BI272+BJ272</f>
        <v>0.15069444444088731</v>
      </c>
      <c r="BL272" s="95">
        <f>+BE272-BH272-BF272-BG272</f>
        <v>0.11597222221866509</v>
      </c>
      <c r="BM272" s="95" t="str">
        <f>IF(VALUE(BE272)&lt;=VALUE("05:00"),"00:00",VALUE(BE272)-VALUE("05:00"))</f>
        <v>00:00</v>
      </c>
      <c r="BN272" s="110"/>
    </row>
    <row r="273" spans="1:66" s="8" customFormat="1" ht="12.75" customHeight="1" x14ac:dyDescent="0.25">
      <c r="A273" s="150">
        <v>235</v>
      </c>
      <c r="B273" s="150">
        <v>132</v>
      </c>
      <c r="C273" s="90">
        <v>12</v>
      </c>
      <c r="D273" s="90" t="s">
        <v>113</v>
      </c>
      <c r="E273" s="91" t="s">
        <v>296</v>
      </c>
      <c r="F273" s="90" t="s">
        <v>32</v>
      </c>
      <c r="G273" s="90" t="s">
        <v>15</v>
      </c>
      <c r="H273" s="90" t="s">
        <v>146</v>
      </c>
      <c r="I273" s="135" t="s">
        <v>416</v>
      </c>
      <c r="J273" s="151">
        <v>45443</v>
      </c>
      <c r="K273" s="135" t="s">
        <v>117</v>
      </c>
      <c r="L273" s="135">
        <v>261005741</v>
      </c>
      <c r="M273" s="151">
        <v>45444</v>
      </c>
      <c r="N273" s="152">
        <v>45444.177083333336</v>
      </c>
      <c r="O273" s="152">
        <v>45444.177083333336</v>
      </c>
      <c r="P273" s="152">
        <v>45444.180555555555</v>
      </c>
      <c r="Q273" s="152">
        <v>45444.385416666664</v>
      </c>
      <c r="R273" s="114" t="s">
        <v>118</v>
      </c>
      <c r="S273" s="114">
        <v>45444.46875</v>
      </c>
      <c r="T273" s="114">
        <v>45444.565972222219</v>
      </c>
      <c r="U273" s="114">
        <v>45444.661805555559</v>
      </c>
      <c r="V273" s="95">
        <f t="shared" si="138"/>
        <v>0.20833333332848269</v>
      </c>
      <c r="W273" s="95">
        <v>0.20833333333333334</v>
      </c>
      <c r="X273" s="95" t="str">
        <f t="shared" si="139"/>
        <v>00:00</v>
      </c>
      <c r="Y273" s="96">
        <v>0</v>
      </c>
      <c r="Z273" s="96">
        <v>58</v>
      </c>
      <c r="AA273" s="96">
        <f t="shared" si="106"/>
        <v>58</v>
      </c>
      <c r="AB273" s="97">
        <f t="shared" si="107"/>
        <v>0</v>
      </c>
      <c r="AC273" s="97">
        <f t="shared" si="108"/>
        <v>3840.05</v>
      </c>
      <c r="AD273" s="98">
        <v>3840.05</v>
      </c>
      <c r="AE273" s="98">
        <v>4035.9</v>
      </c>
      <c r="AF273" s="98">
        <v>4036</v>
      </c>
      <c r="AG273" s="98">
        <f t="shared" si="109"/>
        <v>195.94999999999982</v>
      </c>
      <c r="AH273" s="99">
        <v>1398.7</v>
      </c>
      <c r="AI273" s="100">
        <f t="shared" si="110"/>
        <v>5645153.2000000002</v>
      </c>
      <c r="AJ273" s="100">
        <f t="shared" si="144"/>
        <v>0</v>
      </c>
      <c r="AK273" s="100">
        <v>0</v>
      </c>
      <c r="AL273" s="100">
        <v>0</v>
      </c>
      <c r="AM273" s="100">
        <v>0</v>
      </c>
      <c r="AN273" s="100">
        <v>0</v>
      </c>
      <c r="AO273" s="100">
        <v>0</v>
      </c>
      <c r="AP273" s="100">
        <f t="shared" si="136"/>
        <v>282258</v>
      </c>
      <c r="AQ273" s="101">
        <f t="shared" si="137"/>
        <v>5927412</v>
      </c>
      <c r="AR273" s="101">
        <v>0</v>
      </c>
      <c r="AS273" s="101">
        <v>0</v>
      </c>
      <c r="AT273" s="102" t="s">
        <v>34</v>
      </c>
      <c r="AU273" s="109" t="s">
        <v>118</v>
      </c>
      <c r="AV273" s="100">
        <v>0</v>
      </c>
      <c r="AW273" s="105"/>
      <c r="AX273" s="106">
        <f t="shared" si="140"/>
        <v>4.8550545094152584</v>
      </c>
      <c r="AY273" s="101">
        <f t="shared" si="141"/>
        <v>274076</v>
      </c>
      <c r="AZ273" s="107"/>
      <c r="BA273" s="94">
        <v>45444.177083333336</v>
      </c>
      <c r="BB273" s="94">
        <v>45444.180555555555</v>
      </c>
      <c r="BC273" s="94">
        <v>45444.291666666664</v>
      </c>
      <c r="BD273" s="94">
        <v>45444.466666666667</v>
      </c>
      <c r="BE273" s="95">
        <f>+BD273-BA273</f>
        <v>0.28958333333139308</v>
      </c>
      <c r="BF273" s="95">
        <v>4.0972222222222222E-2</v>
      </c>
      <c r="BG273" s="95">
        <v>0.12986111111111112</v>
      </c>
      <c r="BH273" s="95">
        <f t="shared" si="146"/>
        <v>3.4722222189884633E-3</v>
      </c>
      <c r="BI273" s="95">
        <f t="shared" si="146"/>
        <v>0.11111111110949423</v>
      </c>
      <c r="BJ273" s="95">
        <f t="shared" si="146"/>
        <v>0.17500000000291038</v>
      </c>
      <c r="BK273" s="95">
        <f>+BI273+BJ273</f>
        <v>0.28611111111240461</v>
      </c>
      <c r="BL273" s="95">
        <f>+BE273-BH273-BF273-BG273</f>
        <v>0.11527777777907128</v>
      </c>
      <c r="BM273" s="95">
        <f>IF(VALUE(BE273)&lt;=VALUE("05:00"),"00:00",VALUE(BE273)-VALUE("05:00"))</f>
        <v>8.1249999998059735E-2</v>
      </c>
      <c r="BN273" s="110"/>
    </row>
    <row r="274" spans="1:66" s="8" customFormat="1" ht="12.75" customHeight="1" x14ac:dyDescent="0.25">
      <c r="A274" s="150">
        <v>236</v>
      </c>
      <c r="B274" s="150">
        <v>1</v>
      </c>
      <c r="C274" s="90">
        <v>12</v>
      </c>
      <c r="D274" s="90" t="s">
        <v>113</v>
      </c>
      <c r="E274" s="91" t="s">
        <v>299</v>
      </c>
      <c r="F274" s="90" t="s">
        <v>7</v>
      </c>
      <c r="G274" s="90" t="s">
        <v>8</v>
      </c>
      <c r="H274" s="90" t="s">
        <v>417</v>
      </c>
      <c r="I274" s="135" t="s">
        <v>418</v>
      </c>
      <c r="J274" s="151">
        <v>45444</v>
      </c>
      <c r="K274" s="135" t="s">
        <v>122</v>
      </c>
      <c r="L274" s="135">
        <v>282000953</v>
      </c>
      <c r="M274" s="151">
        <v>45444</v>
      </c>
      <c r="N274" s="152">
        <v>45444.5</v>
      </c>
      <c r="O274" s="152">
        <v>45444.5</v>
      </c>
      <c r="P274" s="152">
        <v>45444.503472222219</v>
      </c>
      <c r="Q274" s="152">
        <v>45444.666666666664</v>
      </c>
      <c r="R274" s="114" t="s">
        <v>118</v>
      </c>
      <c r="S274" s="114" t="s">
        <v>118</v>
      </c>
      <c r="T274" s="114">
        <v>45444.666666666664</v>
      </c>
      <c r="U274" s="114">
        <v>45444.801388888889</v>
      </c>
      <c r="V274" s="95">
        <f t="shared" si="138"/>
        <v>0.16666666666424135</v>
      </c>
      <c r="W274" s="95">
        <v>0.20833333333333334</v>
      </c>
      <c r="X274" s="95" t="str">
        <f t="shared" si="139"/>
        <v>00:00</v>
      </c>
      <c r="Y274" s="96">
        <v>0</v>
      </c>
      <c r="Z274" s="96">
        <v>58</v>
      </c>
      <c r="AA274" s="96">
        <f t="shared" si="106"/>
        <v>58</v>
      </c>
      <c r="AB274" s="97">
        <f t="shared" si="107"/>
        <v>0</v>
      </c>
      <c r="AC274" s="97">
        <f t="shared" si="108"/>
        <v>3857.6000000000004</v>
      </c>
      <c r="AD274" s="98">
        <v>3857.6</v>
      </c>
      <c r="AE274" s="98">
        <v>4060</v>
      </c>
      <c r="AF274" s="98">
        <v>4060</v>
      </c>
      <c r="AG274" s="98">
        <f t="shared" si="109"/>
        <v>202.40000000000009</v>
      </c>
      <c r="AH274" s="99">
        <v>2061</v>
      </c>
      <c r="AI274" s="100">
        <f t="shared" si="110"/>
        <v>8367660</v>
      </c>
      <c r="AJ274" s="100">
        <f t="shared" si="144"/>
        <v>0</v>
      </c>
      <c r="AK274" s="100">
        <v>0</v>
      </c>
      <c r="AL274" s="100">
        <v>0</v>
      </c>
      <c r="AM274" s="100">
        <v>0</v>
      </c>
      <c r="AN274" s="100">
        <v>0</v>
      </c>
      <c r="AO274" s="100">
        <f>IFERROR(AF274*20+(((AJ274/AH274)/2)*20),0)</f>
        <v>81200</v>
      </c>
      <c r="AP274" s="100">
        <f t="shared" si="136"/>
        <v>422443</v>
      </c>
      <c r="AQ274" s="101">
        <f t="shared" si="137"/>
        <v>8871303</v>
      </c>
      <c r="AR274" s="101">
        <v>0</v>
      </c>
      <c r="AS274" s="101">
        <v>0</v>
      </c>
      <c r="AT274" s="102" t="s">
        <v>33</v>
      </c>
      <c r="AU274" s="157" t="s">
        <v>118</v>
      </c>
      <c r="AV274" s="100">
        <v>0</v>
      </c>
      <c r="AW274" s="105"/>
      <c r="AX274" s="106">
        <f t="shared" si="140"/>
        <v>4.9852216748768496</v>
      </c>
      <c r="AY274" s="101">
        <f t="shared" si="141"/>
        <v>417147</v>
      </c>
      <c r="AZ274" s="107"/>
      <c r="BA274" s="94">
        <v>45444.5</v>
      </c>
      <c r="BB274" s="94">
        <v>45444.503472222219</v>
      </c>
      <c r="BC274" s="94">
        <v>45444.506944444445</v>
      </c>
      <c r="BD274" s="94">
        <v>45444.631944444445</v>
      </c>
      <c r="BE274" s="95">
        <f>+BD274-BA274</f>
        <v>0.13194444444525288</v>
      </c>
      <c r="BF274" s="95">
        <v>7.6388888888888886E-3</v>
      </c>
      <c r="BG274" s="95">
        <v>0</v>
      </c>
      <c r="BH274" s="95">
        <f t="shared" si="146"/>
        <v>3.4722222189884633E-3</v>
      </c>
      <c r="BI274" s="95">
        <f t="shared" si="146"/>
        <v>3.4722222262644209E-3</v>
      </c>
      <c r="BJ274" s="95">
        <f t="shared" si="146"/>
        <v>0.125</v>
      </c>
      <c r="BK274" s="95">
        <f>+BI274+BJ274</f>
        <v>0.12847222222626442</v>
      </c>
      <c r="BL274" s="95">
        <f>+BE274-BH274-BF274-BG274</f>
        <v>0.12083333333737553</v>
      </c>
      <c r="BM274" s="95" t="str">
        <f>IF(VALUE(BE274)&lt;=VALUE("05:00"),"00:00",VALUE(BE274)-VALUE("05:00"))</f>
        <v>00:00</v>
      </c>
      <c r="BN274" s="110"/>
    </row>
    <row r="275" spans="1:66" s="8" customFormat="1" ht="12.75" customHeight="1" x14ac:dyDescent="0.25">
      <c r="A275" s="150">
        <v>238</v>
      </c>
      <c r="B275" s="150">
        <v>3</v>
      </c>
      <c r="C275" s="90">
        <v>13</v>
      </c>
      <c r="D275" s="90" t="s">
        <v>113</v>
      </c>
      <c r="E275" s="91" t="s">
        <v>299</v>
      </c>
      <c r="F275" s="90" t="s">
        <v>7</v>
      </c>
      <c r="G275" s="90" t="s">
        <v>8</v>
      </c>
      <c r="H275" s="90" t="s">
        <v>412</v>
      </c>
      <c r="I275" s="135" t="s">
        <v>419</v>
      </c>
      <c r="J275" s="151">
        <v>45444</v>
      </c>
      <c r="K275" s="135" t="s">
        <v>122</v>
      </c>
      <c r="L275" s="135">
        <v>282000954</v>
      </c>
      <c r="M275" s="151">
        <v>45445</v>
      </c>
      <c r="N275" s="152">
        <v>45444.826388888891</v>
      </c>
      <c r="O275" s="152">
        <v>45444.8125</v>
      </c>
      <c r="P275" s="152">
        <v>45444.840277777781</v>
      </c>
      <c r="Q275" s="152">
        <v>45444.989583333336</v>
      </c>
      <c r="R275" s="114">
        <v>45444.826388888891</v>
      </c>
      <c r="S275" s="114" t="s">
        <v>118</v>
      </c>
      <c r="T275" s="114">
        <v>45445.0625</v>
      </c>
      <c r="U275" s="114">
        <v>45445.174305555556</v>
      </c>
      <c r="V275" s="95">
        <f t="shared" si="138"/>
        <v>0.17708333333575865</v>
      </c>
      <c r="W275" s="95">
        <v>0.20833333333333334</v>
      </c>
      <c r="X275" s="95" t="str">
        <f t="shared" si="139"/>
        <v>00:00</v>
      </c>
      <c r="Y275" s="96">
        <v>0</v>
      </c>
      <c r="Z275" s="96">
        <v>58</v>
      </c>
      <c r="AA275" s="96">
        <f t="shared" si="106"/>
        <v>58</v>
      </c>
      <c r="AB275" s="97">
        <f t="shared" si="107"/>
        <v>0</v>
      </c>
      <c r="AC275" s="97">
        <f t="shared" si="108"/>
        <v>3919.4</v>
      </c>
      <c r="AD275" s="98">
        <v>3919.4</v>
      </c>
      <c r="AE275" s="98">
        <v>4024.1</v>
      </c>
      <c r="AF275" s="98">
        <v>4024.8</v>
      </c>
      <c r="AG275" s="98">
        <f t="shared" si="109"/>
        <v>105.40000000000009</v>
      </c>
      <c r="AH275" s="99">
        <v>2025.7</v>
      </c>
      <c r="AI275" s="100">
        <f t="shared" si="110"/>
        <v>8153037.3600000003</v>
      </c>
      <c r="AJ275" s="100">
        <f t="shared" si="144"/>
        <v>0</v>
      </c>
      <c r="AK275" s="100">
        <v>0</v>
      </c>
      <c r="AL275" s="100">
        <v>0</v>
      </c>
      <c r="AM275" s="100">
        <v>0</v>
      </c>
      <c r="AN275" s="100">
        <v>0</v>
      </c>
      <c r="AO275" s="100">
        <f>IFERROR(AF275*20+(((AJ275/AH275)/2)*20),0)</f>
        <v>80496</v>
      </c>
      <c r="AP275" s="100">
        <f t="shared" si="136"/>
        <v>411677</v>
      </c>
      <c r="AQ275" s="101">
        <f t="shared" si="137"/>
        <v>8645211</v>
      </c>
      <c r="AR275" s="101">
        <v>0</v>
      </c>
      <c r="AS275" s="101">
        <v>0</v>
      </c>
      <c r="AT275" s="102" t="s">
        <v>33</v>
      </c>
      <c r="AU275" s="157" t="s">
        <v>118</v>
      </c>
      <c r="AV275" s="100">
        <v>0</v>
      </c>
      <c r="AW275" s="105"/>
      <c r="AX275" s="106">
        <f t="shared" si="140"/>
        <v>2.6187636652752952</v>
      </c>
      <c r="AY275" s="101">
        <f t="shared" si="141"/>
        <v>213509</v>
      </c>
      <c r="AZ275" s="107"/>
      <c r="BA275" s="94">
        <v>45444.8125</v>
      </c>
      <c r="BB275" s="94">
        <v>45444.840277777781</v>
      </c>
      <c r="BC275" s="94">
        <v>45444.840277777781</v>
      </c>
      <c r="BD275" s="94">
        <v>45444.963194444441</v>
      </c>
      <c r="BE275" s="95">
        <f>+BD275-BA275</f>
        <v>0.15069444444088731</v>
      </c>
      <c r="BF275" s="95">
        <v>0</v>
      </c>
      <c r="BG275" s="95">
        <v>0</v>
      </c>
      <c r="BH275" s="95">
        <f t="shared" ref="BH275:BJ279" si="147">+BB275-BA275</f>
        <v>2.7777777781011537E-2</v>
      </c>
      <c r="BI275" s="95">
        <f t="shared" si="147"/>
        <v>0</v>
      </c>
      <c r="BJ275" s="95">
        <f t="shared" si="147"/>
        <v>0.12291666665987577</v>
      </c>
      <c r="BK275" s="95">
        <f>+BI275+BJ275</f>
        <v>0.12291666665987577</v>
      </c>
      <c r="BL275" s="95">
        <f>+BE275-BH275-BF275-BG275</f>
        <v>0.12291666665987577</v>
      </c>
      <c r="BM275" s="95" t="str">
        <f>IF(VALUE(BE275)&lt;=VALUE("05:00"),"00:00",VALUE(BE275)-VALUE("05:00"))</f>
        <v>00:00</v>
      </c>
      <c r="BN275" s="110"/>
    </row>
    <row r="276" spans="1:66" s="8" customFormat="1" ht="12.75" customHeight="1" x14ac:dyDescent="0.25">
      <c r="A276" s="150">
        <v>239</v>
      </c>
      <c r="B276" s="150">
        <v>4</v>
      </c>
      <c r="C276" s="90">
        <v>5</v>
      </c>
      <c r="D276" s="90" t="s">
        <v>113</v>
      </c>
      <c r="E276" s="91" t="s">
        <v>313</v>
      </c>
      <c r="F276" s="90" t="s">
        <v>11</v>
      </c>
      <c r="G276" s="90" t="s">
        <v>12</v>
      </c>
      <c r="H276" s="90" t="s">
        <v>115</v>
      </c>
      <c r="I276" s="135" t="s">
        <v>420</v>
      </c>
      <c r="J276" s="151">
        <v>45444</v>
      </c>
      <c r="K276" s="135" t="s">
        <v>117</v>
      </c>
      <c r="L276" s="135">
        <v>282000956</v>
      </c>
      <c r="M276" s="151">
        <v>45446</v>
      </c>
      <c r="N276" s="152">
        <v>45445.270833333336</v>
      </c>
      <c r="O276" s="152">
        <v>45445.25</v>
      </c>
      <c r="P276" s="152">
        <v>45445.298611111109</v>
      </c>
      <c r="Q276" s="152">
        <v>45445.458333333336</v>
      </c>
      <c r="R276" s="114">
        <v>45445.270833333336</v>
      </c>
      <c r="S276" s="114" t="s">
        <v>118</v>
      </c>
      <c r="T276" s="114">
        <v>45445.520833333336</v>
      </c>
      <c r="U276" s="114">
        <v>45445.617361111108</v>
      </c>
      <c r="V276" s="95">
        <f t="shared" si="138"/>
        <v>0.20833333333575865</v>
      </c>
      <c r="W276" s="95">
        <v>0.20833333333333334</v>
      </c>
      <c r="X276" s="95">
        <f t="shared" si="139"/>
        <v>2.4253099528692701E-12</v>
      </c>
      <c r="Y276" s="96">
        <v>0</v>
      </c>
      <c r="Z276" s="96">
        <v>57</v>
      </c>
      <c r="AA276" s="96">
        <f t="shared" si="106"/>
        <v>57</v>
      </c>
      <c r="AB276" s="97">
        <f t="shared" si="107"/>
        <v>0</v>
      </c>
      <c r="AC276" s="97">
        <f t="shared" si="108"/>
        <v>3868.18</v>
      </c>
      <c r="AD276" s="98">
        <v>3868.18</v>
      </c>
      <c r="AE276" s="98">
        <v>3958.4</v>
      </c>
      <c r="AF276" s="98">
        <v>3962</v>
      </c>
      <c r="AG276" s="98">
        <f t="shared" si="109"/>
        <v>93.820000000000164</v>
      </c>
      <c r="AH276" s="99">
        <v>1586.7</v>
      </c>
      <c r="AI276" s="100">
        <f t="shared" si="110"/>
        <v>6286505.4000000004</v>
      </c>
      <c r="AJ276" s="100">
        <f>(0.4*AH276)*2</f>
        <v>1269.3600000000001</v>
      </c>
      <c r="AK276" s="100">
        <v>0</v>
      </c>
      <c r="AL276" s="100">
        <v>0</v>
      </c>
      <c r="AM276" s="100">
        <v>0</v>
      </c>
      <c r="AN276" s="100">
        <v>0</v>
      </c>
      <c r="AO276" s="100">
        <f>IFERROR(AF276*20+(((AJ276/AH276)/2)*20),0)</f>
        <v>79248</v>
      </c>
      <c r="AP276" s="100">
        <f t="shared" si="136"/>
        <v>318352</v>
      </c>
      <c r="AQ276" s="101">
        <f t="shared" si="137"/>
        <v>6685375</v>
      </c>
      <c r="AR276" s="101">
        <v>0</v>
      </c>
      <c r="AS276" s="101">
        <v>0</v>
      </c>
      <c r="AT276" s="102" t="s">
        <v>33</v>
      </c>
      <c r="AU276" s="157" t="s">
        <v>118</v>
      </c>
      <c r="AV276" s="100">
        <v>0</v>
      </c>
      <c r="AW276" s="105"/>
      <c r="AX276" s="106">
        <f t="shared" si="140"/>
        <v>2.3679959616355419</v>
      </c>
      <c r="AY276" s="101">
        <f t="shared" si="141"/>
        <v>148865</v>
      </c>
      <c r="AZ276" s="107"/>
      <c r="BA276" s="94">
        <v>45445.270833333336</v>
      </c>
      <c r="BB276" s="94">
        <v>45445.298611111109</v>
      </c>
      <c r="BC276" s="94">
        <v>45445.315972222219</v>
      </c>
      <c r="BD276" s="94">
        <v>45445.517361111109</v>
      </c>
      <c r="BE276" s="95">
        <f>+BD276-BA276</f>
        <v>0.24652777777373558</v>
      </c>
      <c r="BF276" s="95">
        <v>2.8472222222222222E-2</v>
      </c>
      <c r="BG276" s="95">
        <v>6.9444444444444441E-3</v>
      </c>
      <c r="BH276" s="95">
        <f t="shared" si="147"/>
        <v>2.7777777773735579E-2</v>
      </c>
      <c r="BI276" s="95">
        <f t="shared" si="147"/>
        <v>1.7361111109494232E-2</v>
      </c>
      <c r="BJ276" s="95">
        <f t="shared" si="147"/>
        <v>0.20138888889050577</v>
      </c>
      <c r="BK276" s="95">
        <f>+BI276+BJ276</f>
        <v>0.21875</v>
      </c>
      <c r="BL276" s="95">
        <f>+BE276-BH276-BF276-BG276</f>
        <v>0.18333333333333332</v>
      </c>
      <c r="BM276" s="95">
        <f>IF(VALUE(BE276)&lt;=VALUE("05:00"),"00:00",VALUE(BE276)-VALUE("05:00"))</f>
        <v>3.8194444440402237E-2</v>
      </c>
      <c r="BN276" s="110"/>
    </row>
    <row r="277" spans="1:66" s="8" customFormat="1" ht="12.75" customHeight="1" x14ac:dyDescent="0.25">
      <c r="A277" s="150">
        <v>240</v>
      </c>
      <c r="B277" s="150">
        <v>5</v>
      </c>
      <c r="C277" s="90">
        <v>13</v>
      </c>
      <c r="D277" s="90" t="s">
        <v>148</v>
      </c>
      <c r="E277" s="91" t="s">
        <v>381</v>
      </c>
      <c r="F277" s="90" t="s">
        <v>16</v>
      </c>
      <c r="G277" s="90" t="s">
        <v>17</v>
      </c>
      <c r="H277" s="90" t="s">
        <v>150</v>
      </c>
      <c r="I277" s="135" t="s">
        <v>421</v>
      </c>
      <c r="J277" s="151">
        <v>45440</v>
      </c>
      <c r="K277" s="135" t="s">
        <v>122</v>
      </c>
      <c r="L277" s="135">
        <v>461000267</v>
      </c>
      <c r="M277" s="151">
        <v>45445</v>
      </c>
      <c r="N277" s="152">
        <v>45445.416666666664</v>
      </c>
      <c r="O277" s="152">
        <v>45445.416666666664</v>
      </c>
      <c r="P277" s="152">
        <v>45445.420138888891</v>
      </c>
      <c r="Q277" s="152">
        <v>45445.625</v>
      </c>
      <c r="R277" s="114" t="s">
        <v>118</v>
      </c>
      <c r="S277" s="114">
        <v>45445.708333333336</v>
      </c>
      <c r="T277" s="114">
        <v>45445.71875</v>
      </c>
      <c r="U277" s="114">
        <v>45445.788194444445</v>
      </c>
      <c r="V277" s="95">
        <f t="shared" si="138"/>
        <v>0.20833333333575865</v>
      </c>
      <c r="W277" s="95">
        <v>0.20833333333333334</v>
      </c>
      <c r="X277" s="95">
        <f t="shared" si="139"/>
        <v>2.4253099528692701E-12</v>
      </c>
      <c r="Y277" s="96">
        <v>0</v>
      </c>
      <c r="Z277" s="96">
        <v>59</v>
      </c>
      <c r="AA277" s="96">
        <f t="shared" si="106"/>
        <v>59</v>
      </c>
      <c r="AB277" s="97">
        <f t="shared" si="107"/>
        <v>0</v>
      </c>
      <c r="AC277" s="97">
        <f t="shared" si="108"/>
        <v>3993.05</v>
      </c>
      <c r="AD277" s="98">
        <v>3993.05</v>
      </c>
      <c r="AE277" s="98">
        <v>4092.7</v>
      </c>
      <c r="AF277" s="98">
        <v>4096</v>
      </c>
      <c r="AG277" s="98">
        <f t="shared" si="109"/>
        <v>102.94999999999982</v>
      </c>
      <c r="AH277" s="99">
        <v>672.5</v>
      </c>
      <c r="AI277" s="100">
        <f t="shared" si="110"/>
        <v>2754560</v>
      </c>
      <c r="AJ277" s="100">
        <f>(0*AH277)*2</f>
        <v>0</v>
      </c>
      <c r="AK277" s="100">
        <v>0</v>
      </c>
      <c r="AL277" s="100">
        <v>24290</v>
      </c>
      <c r="AM277" s="100">
        <v>0</v>
      </c>
      <c r="AN277" s="100">
        <v>0</v>
      </c>
      <c r="AO277" s="100">
        <v>0</v>
      </c>
      <c r="AP277" s="100">
        <f t="shared" si="136"/>
        <v>138943</v>
      </c>
      <c r="AQ277" s="101">
        <f t="shared" si="137"/>
        <v>2917793</v>
      </c>
      <c r="AR277" s="101">
        <v>0</v>
      </c>
      <c r="AS277" s="101">
        <v>0</v>
      </c>
      <c r="AT277" s="102" t="s">
        <v>33</v>
      </c>
      <c r="AU277" s="157">
        <v>2</v>
      </c>
      <c r="AV277" s="100">
        <f>5.1-2.6</f>
        <v>2.4999999999999996</v>
      </c>
      <c r="AW277" s="105"/>
      <c r="AX277" s="106">
        <f t="shared" si="140"/>
        <v>2.5134277343749956</v>
      </c>
      <c r="AY277" s="101">
        <f t="shared" si="141"/>
        <v>69234</v>
      </c>
      <c r="AZ277" s="107"/>
      <c r="BA277" s="94">
        <v>45445.416666666664</v>
      </c>
      <c r="BB277" s="94">
        <v>45445.420138888891</v>
      </c>
      <c r="BC277" s="94">
        <v>45445.552083333336</v>
      </c>
      <c r="BD277" s="94">
        <v>45445.70416666667</v>
      </c>
      <c r="BE277" s="95">
        <f>+BD277-BA277</f>
        <v>0.28750000000582077</v>
      </c>
      <c r="BF277" s="95">
        <v>4.8611111111111112E-2</v>
      </c>
      <c r="BG277" s="95">
        <v>0.11041666666666666</v>
      </c>
      <c r="BH277" s="95">
        <f t="shared" si="147"/>
        <v>3.4722222262644209E-3</v>
      </c>
      <c r="BI277" s="95">
        <f t="shared" si="147"/>
        <v>0.13194444444525288</v>
      </c>
      <c r="BJ277" s="95">
        <f t="shared" si="147"/>
        <v>0.15208333333430346</v>
      </c>
      <c r="BK277" s="95">
        <f>+BI277+BJ277</f>
        <v>0.28402777777955635</v>
      </c>
      <c r="BL277" s="95">
        <f>+BE277-BH277-BF277-BG277</f>
        <v>0.12500000000177858</v>
      </c>
      <c r="BM277" s="95">
        <f>IF(VALUE(BE277)&lt;=VALUE("05:00"),"00:00",VALUE(BE277)-VALUE("05:00"))</f>
        <v>7.9166666672487424E-2</v>
      </c>
      <c r="BN277" s="110"/>
    </row>
    <row r="278" spans="1:66" s="8" customFormat="1" ht="12.75" customHeight="1" x14ac:dyDescent="0.25">
      <c r="A278" s="153">
        <v>241</v>
      </c>
      <c r="B278" s="150">
        <v>6</v>
      </c>
      <c r="C278" s="90">
        <v>14</v>
      </c>
      <c r="D278" s="90" t="s">
        <v>113</v>
      </c>
      <c r="E278" s="91" t="s">
        <v>319</v>
      </c>
      <c r="F278" s="90" t="s">
        <v>32</v>
      </c>
      <c r="G278" s="90" t="s">
        <v>8</v>
      </c>
      <c r="H278" s="90" t="s">
        <v>120</v>
      </c>
      <c r="I278" s="135" t="s">
        <v>422</v>
      </c>
      <c r="J278" s="151">
        <v>45445</v>
      </c>
      <c r="K278" s="135" t="s">
        <v>117</v>
      </c>
      <c r="L278" s="135">
        <v>261005742</v>
      </c>
      <c r="M278" s="151">
        <v>45446</v>
      </c>
      <c r="N278" s="152">
        <v>45445.645833333336</v>
      </c>
      <c r="O278" s="152">
        <v>45445.645833333336</v>
      </c>
      <c r="P278" s="152">
        <v>45445.649305555555</v>
      </c>
      <c r="Q278" s="152">
        <v>45445.854166666664</v>
      </c>
      <c r="R278" s="114" t="s">
        <v>118</v>
      </c>
      <c r="S278" s="114" t="s">
        <v>118</v>
      </c>
      <c r="T278" s="114">
        <v>45445.9375</v>
      </c>
      <c r="U278" s="114">
        <v>45446.017361111109</v>
      </c>
      <c r="V278" s="95">
        <f t="shared" si="138"/>
        <v>0.20833333332848269</v>
      </c>
      <c r="W278" s="95">
        <v>0.20833333333333334</v>
      </c>
      <c r="X278" s="95" t="str">
        <f t="shared" si="139"/>
        <v>00:00</v>
      </c>
      <c r="Y278" s="96">
        <v>0</v>
      </c>
      <c r="Z278" s="96">
        <v>59</v>
      </c>
      <c r="AA278" s="96">
        <f t="shared" si="106"/>
        <v>59</v>
      </c>
      <c r="AB278" s="97">
        <f t="shared" si="107"/>
        <v>0</v>
      </c>
      <c r="AC278" s="97">
        <f t="shared" si="108"/>
        <v>3850.66</v>
      </c>
      <c r="AD278" s="98">
        <v>3850.66</v>
      </c>
      <c r="AE278" s="98">
        <v>4087.6</v>
      </c>
      <c r="AF278" s="98">
        <v>4087.6</v>
      </c>
      <c r="AG278" s="98">
        <f t="shared" si="109"/>
        <v>236.94000000000005</v>
      </c>
      <c r="AH278" s="99">
        <v>1398.7</v>
      </c>
      <c r="AI278" s="100">
        <f t="shared" si="110"/>
        <v>5717326.1200000001</v>
      </c>
      <c r="AJ278" s="100">
        <f>(0*AH278)*2</f>
        <v>0</v>
      </c>
      <c r="AK278" s="100">
        <v>0</v>
      </c>
      <c r="AL278" s="100">
        <v>0</v>
      </c>
      <c r="AM278" s="100">
        <v>0</v>
      </c>
      <c r="AN278" s="100">
        <v>0</v>
      </c>
      <c r="AO278" s="100">
        <v>0</v>
      </c>
      <c r="AP278" s="100">
        <f t="shared" si="136"/>
        <v>285867</v>
      </c>
      <c r="AQ278" s="101">
        <f t="shared" si="137"/>
        <v>6003194</v>
      </c>
      <c r="AR278" s="101">
        <v>0</v>
      </c>
      <c r="AS278" s="101">
        <v>0</v>
      </c>
      <c r="AT278" s="102" t="s">
        <v>33</v>
      </c>
      <c r="AU278" s="157" t="s">
        <v>118</v>
      </c>
      <c r="AV278" s="100">
        <v>0</v>
      </c>
      <c r="AW278" s="105"/>
      <c r="AX278" s="106">
        <f t="shared" si="140"/>
        <v>5.796555435952639</v>
      </c>
      <c r="AY278" s="101">
        <f t="shared" si="141"/>
        <v>331408</v>
      </c>
      <c r="AZ278" s="107"/>
      <c r="BA278" s="94">
        <v>45445.645833333336</v>
      </c>
      <c r="BB278" s="94">
        <v>45445.649305555555</v>
      </c>
      <c r="BC278" s="94">
        <v>45445.736111111109</v>
      </c>
      <c r="BD278" s="94">
        <v>45445.852777777778</v>
      </c>
      <c r="BE278" s="95">
        <f>+BD278-BA278</f>
        <v>0.2069444444423425</v>
      </c>
      <c r="BF278" s="95">
        <v>1.4583333333333334E-2</v>
      </c>
      <c r="BG278" s="95">
        <v>7.7083333333333337E-2</v>
      </c>
      <c r="BH278" s="95">
        <f t="shared" si="147"/>
        <v>3.4722222189884633E-3</v>
      </c>
      <c r="BI278" s="95">
        <f t="shared" si="147"/>
        <v>8.6805555554747116E-2</v>
      </c>
      <c r="BJ278" s="95">
        <f t="shared" si="147"/>
        <v>0.11666666666860692</v>
      </c>
      <c r="BK278" s="95">
        <f>+BI278+BJ278</f>
        <v>0.20347222222335404</v>
      </c>
      <c r="BL278" s="95">
        <f>+BE278-BH278-BF278-BG278</f>
        <v>0.11180555555668736</v>
      </c>
      <c r="BM278" s="95" t="str">
        <f>IF(VALUE(BE278)&lt;=VALUE("05:00"),"00:00",VALUE(BE278)-VALUE("05:00"))</f>
        <v>00:00</v>
      </c>
      <c r="BN278" s="110"/>
    </row>
    <row r="279" spans="1:66" s="8" customFormat="1" ht="12.75" customHeight="1" x14ac:dyDescent="0.25">
      <c r="A279" s="115">
        <v>242</v>
      </c>
      <c r="B279" s="115">
        <v>7</v>
      </c>
      <c r="C279" s="90">
        <v>20</v>
      </c>
      <c r="D279" s="90" t="s">
        <v>148</v>
      </c>
      <c r="E279" s="91" t="s">
        <v>282</v>
      </c>
      <c r="F279" s="115" t="s">
        <v>19</v>
      </c>
      <c r="G279" s="115" t="s">
        <v>17</v>
      </c>
      <c r="H279" s="115" t="s">
        <v>150</v>
      </c>
      <c r="I279" s="116" t="s">
        <v>423</v>
      </c>
      <c r="J279" s="117">
        <v>45441</v>
      </c>
      <c r="K279" s="116" t="s">
        <v>122</v>
      </c>
      <c r="L279" s="116">
        <v>461000268</v>
      </c>
      <c r="M279" s="117">
        <v>45446</v>
      </c>
      <c r="N279" s="118">
        <v>45445.8125</v>
      </c>
      <c r="O279" s="118">
        <v>45445.8125</v>
      </c>
      <c r="P279" s="118">
        <v>45445.815972222219</v>
      </c>
      <c r="Q279" s="118">
        <v>45445.989583333336</v>
      </c>
      <c r="R279" s="118" t="s">
        <v>118</v>
      </c>
      <c r="S279" s="118" t="s">
        <v>118</v>
      </c>
      <c r="T279" s="118">
        <v>45446.055555555555</v>
      </c>
      <c r="U279" s="118">
        <v>45446.125</v>
      </c>
      <c r="V279" s="119">
        <f t="shared" si="138"/>
        <v>0.17708333333575865</v>
      </c>
      <c r="W279" s="119">
        <v>0.20833333333333334</v>
      </c>
      <c r="X279" s="119" t="str">
        <f t="shared" si="139"/>
        <v>00:00</v>
      </c>
      <c r="Y279" s="96">
        <v>0</v>
      </c>
      <c r="Z279" s="96">
        <v>52</v>
      </c>
      <c r="AA279" s="96">
        <f t="shared" si="106"/>
        <v>52</v>
      </c>
      <c r="AB279" s="97">
        <f t="shared" si="107"/>
        <v>0</v>
      </c>
      <c r="AC279" s="97">
        <f t="shared" si="108"/>
        <v>3319.2</v>
      </c>
      <c r="AD279" s="98">
        <f>3730.81-411.61</f>
        <v>3319.2</v>
      </c>
      <c r="AE279" s="98">
        <f>4041-415.5</f>
        <v>3625.5</v>
      </c>
      <c r="AF279" s="98">
        <f>4041.2-415.7</f>
        <v>3625.5</v>
      </c>
      <c r="AG279" s="98">
        <f t="shared" si="109"/>
        <v>306.30000000000018</v>
      </c>
      <c r="AH279" s="99">
        <v>672.5</v>
      </c>
      <c r="AI279" s="100">
        <f t="shared" si="110"/>
        <v>2438148.75</v>
      </c>
      <c r="AJ279" s="100">
        <f>(0*AH279)*2</f>
        <v>0</v>
      </c>
      <c r="AK279" s="100">
        <v>0</v>
      </c>
      <c r="AL279" s="100">
        <v>0</v>
      </c>
      <c r="AM279" s="100">
        <v>0</v>
      </c>
      <c r="AN279" s="100">
        <v>0</v>
      </c>
      <c r="AO279" s="100">
        <v>0</v>
      </c>
      <c r="AP279" s="100">
        <f t="shared" si="136"/>
        <v>121908</v>
      </c>
      <c r="AQ279" s="101">
        <f>ROUNDUP(SUM(AI279:AP279),0)-1</f>
        <v>2560056</v>
      </c>
      <c r="AR279" s="101">
        <v>0</v>
      </c>
      <c r="AS279" s="101">
        <v>0</v>
      </c>
      <c r="AT279" s="102" t="s">
        <v>33</v>
      </c>
      <c r="AU279" s="158" t="s">
        <v>118</v>
      </c>
      <c r="AV279" s="100">
        <v>0</v>
      </c>
      <c r="AW279" s="139"/>
      <c r="AX279" s="140">
        <f>IFERROR(((AG279+AG280)/(AF279+AF280))*100, "")</f>
        <v>7.6806394140354399</v>
      </c>
      <c r="AY279" s="141">
        <f>ROUNDUP((AG279+AG280)*AH279,0)</f>
        <v>208738</v>
      </c>
      <c r="AZ279" s="142"/>
      <c r="BA279" s="118">
        <v>45445.8125</v>
      </c>
      <c r="BB279" s="118">
        <v>45445.815972222219</v>
      </c>
      <c r="BC279" s="118">
        <v>45445.875</v>
      </c>
      <c r="BD279" s="118">
        <v>45446.036111111112</v>
      </c>
      <c r="BE279" s="119">
        <f>+BD279-BA279</f>
        <v>0.22361111111240461</v>
      </c>
      <c r="BF279" s="119">
        <v>4.0972222222222222E-2</v>
      </c>
      <c r="BG279" s="119">
        <v>4.3749999999999997E-2</v>
      </c>
      <c r="BH279" s="119">
        <f t="shared" si="147"/>
        <v>3.4722222189884633E-3</v>
      </c>
      <c r="BI279" s="119">
        <f t="shared" si="147"/>
        <v>5.9027777781011537E-2</v>
      </c>
      <c r="BJ279" s="119">
        <f t="shared" si="147"/>
        <v>0.16111111111240461</v>
      </c>
      <c r="BK279" s="119">
        <f>+BI279+BJ279</f>
        <v>0.22013888889341615</v>
      </c>
      <c r="BL279" s="119">
        <f>+BE279-BH279-BF279-BG279</f>
        <v>0.13541666667119395</v>
      </c>
      <c r="BM279" s="119">
        <f>IF(VALUE(BE279)&lt;=VALUE("05:00"),"00:00",VALUE(BE279)-VALUE("05:00"))</f>
        <v>1.5277777779071272E-2</v>
      </c>
      <c r="BN279" s="110" t="s">
        <v>424</v>
      </c>
    </row>
    <row r="280" spans="1:66" s="8" customFormat="1" ht="12.75" customHeight="1" x14ac:dyDescent="0.25">
      <c r="A280" s="122"/>
      <c r="B280" s="122"/>
      <c r="C280" s="90">
        <v>1</v>
      </c>
      <c r="D280" s="90" t="s">
        <v>148</v>
      </c>
      <c r="E280" s="91" t="s">
        <v>425</v>
      </c>
      <c r="F280" s="122"/>
      <c r="G280" s="122"/>
      <c r="H280" s="122"/>
      <c r="I280" s="123"/>
      <c r="J280" s="124"/>
      <c r="K280" s="123"/>
      <c r="L280" s="123"/>
      <c r="M280" s="124"/>
      <c r="N280" s="125"/>
      <c r="O280" s="125"/>
      <c r="P280" s="125"/>
      <c r="Q280" s="125"/>
      <c r="R280" s="125"/>
      <c r="S280" s="125"/>
      <c r="T280" s="125"/>
      <c r="U280" s="125"/>
      <c r="V280" s="126"/>
      <c r="W280" s="126"/>
      <c r="X280" s="126"/>
      <c r="Y280" s="96">
        <v>0</v>
      </c>
      <c r="Z280" s="96">
        <v>6</v>
      </c>
      <c r="AA280" s="96">
        <f t="shared" si="106"/>
        <v>6</v>
      </c>
      <c r="AB280" s="97">
        <f t="shared" si="107"/>
        <v>0</v>
      </c>
      <c r="AC280" s="97">
        <f t="shared" si="108"/>
        <v>411.61</v>
      </c>
      <c r="AD280" s="98">
        <v>411.61</v>
      </c>
      <c r="AE280" s="98">
        <v>415.5</v>
      </c>
      <c r="AF280" s="98">
        <v>415.7</v>
      </c>
      <c r="AG280" s="98">
        <f t="shared" si="109"/>
        <v>4.089999999999975</v>
      </c>
      <c r="AH280" s="99">
        <v>672.5</v>
      </c>
      <c r="AI280" s="100">
        <f t="shared" si="110"/>
        <v>279558.25</v>
      </c>
      <c r="AJ280" s="100">
        <f>(0*AH280)*2</f>
        <v>0</v>
      </c>
      <c r="AK280" s="100">
        <v>0</v>
      </c>
      <c r="AL280" s="100">
        <v>0</v>
      </c>
      <c r="AM280" s="100">
        <v>0</v>
      </c>
      <c r="AN280" s="100">
        <v>0</v>
      </c>
      <c r="AO280" s="100">
        <v>0</v>
      </c>
      <c r="AP280" s="100">
        <f t="shared" si="136"/>
        <v>13978</v>
      </c>
      <c r="AQ280" s="101">
        <f t="shared" ref="AQ280:AQ290" si="148">ROUNDUP(SUM(AI280:AP280),0)</f>
        <v>293537</v>
      </c>
      <c r="AR280" s="101">
        <v>0</v>
      </c>
      <c r="AS280" s="101">
        <v>0</v>
      </c>
      <c r="AT280" s="102" t="s">
        <v>33</v>
      </c>
      <c r="AU280" s="159"/>
      <c r="AV280" s="100">
        <v>0</v>
      </c>
      <c r="AW280" s="143"/>
      <c r="AX280" s="144"/>
      <c r="AY280" s="145"/>
      <c r="AZ280" s="146"/>
      <c r="BA280" s="125"/>
      <c r="BB280" s="125"/>
      <c r="BC280" s="125"/>
      <c r="BD280" s="125"/>
      <c r="BE280" s="126"/>
      <c r="BF280" s="126"/>
      <c r="BG280" s="126"/>
      <c r="BH280" s="126"/>
      <c r="BI280" s="126"/>
      <c r="BJ280" s="126"/>
      <c r="BK280" s="126"/>
      <c r="BL280" s="126"/>
      <c r="BM280" s="126"/>
      <c r="BN280" s="110" t="s">
        <v>426</v>
      </c>
    </row>
    <row r="281" spans="1:66" s="8" customFormat="1" ht="12.75" customHeight="1" x14ac:dyDescent="0.25">
      <c r="A281" s="150">
        <v>243</v>
      </c>
      <c r="B281" s="150">
        <v>8</v>
      </c>
      <c r="C281" s="90">
        <v>2</v>
      </c>
      <c r="D281" s="90" t="s">
        <v>148</v>
      </c>
      <c r="E281" s="91" t="s">
        <v>425</v>
      </c>
      <c r="F281" s="90" t="s">
        <v>19</v>
      </c>
      <c r="G281" s="90" t="s">
        <v>17</v>
      </c>
      <c r="H281" s="90" t="s">
        <v>150</v>
      </c>
      <c r="I281" s="135" t="s">
        <v>427</v>
      </c>
      <c r="J281" s="151">
        <v>45441</v>
      </c>
      <c r="K281" s="135" t="s">
        <v>117</v>
      </c>
      <c r="L281" s="135">
        <v>461000269</v>
      </c>
      <c r="M281" s="151">
        <v>45446</v>
      </c>
      <c r="N281" s="152">
        <v>45446.041666666664</v>
      </c>
      <c r="O281" s="152">
        <v>45446.041666666664</v>
      </c>
      <c r="P281" s="152">
        <v>45446.048611111109</v>
      </c>
      <c r="Q281" s="152">
        <v>45446.25</v>
      </c>
      <c r="R281" s="114" t="s">
        <v>118</v>
      </c>
      <c r="S281" s="114" t="s">
        <v>118</v>
      </c>
      <c r="T281" s="114">
        <v>45446.291666666664</v>
      </c>
      <c r="U281" s="114">
        <v>45446.423611111109</v>
      </c>
      <c r="V281" s="95">
        <f t="shared" ref="V281:V290" si="149">+Q281-O281</f>
        <v>0.20833333333575865</v>
      </c>
      <c r="W281" s="95">
        <v>0.20833333333333334</v>
      </c>
      <c r="X281" s="95">
        <f t="shared" ref="X281:X290" si="150">IF(VALUE(V281)&lt;=VALUE("05:00"),"00:00",VALUE(V281)-VALUE("05:00"))</f>
        <v>2.4253099528692701E-12</v>
      </c>
      <c r="Y281" s="96">
        <v>0</v>
      </c>
      <c r="Z281" s="96">
        <v>59</v>
      </c>
      <c r="AA281" s="96">
        <f t="shared" si="106"/>
        <v>59</v>
      </c>
      <c r="AB281" s="97">
        <f t="shared" si="107"/>
        <v>0</v>
      </c>
      <c r="AC281" s="97">
        <f t="shared" si="108"/>
        <v>4041.5200000000004</v>
      </c>
      <c r="AD281" s="98">
        <v>4041.52</v>
      </c>
      <c r="AE281" s="98">
        <v>4116.8</v>
      </c>
      <c r="AF281" s="98">
        <v>4130.6000000000004</v>
      </c>
      <c r="AG281" s="98">
        <f t="shared" si="109"/>
        <v>89.080000000000382</v>
      </c>
      <c r="AH281" s="99">
        <v>672.5</v>
      </c>
      <c r="AI281" s="100">
        <f t="shared" si="110"/>
        <v>2777828.5000000005</v>
      </c>
      <c r="AJ281" s="100">
        <f>(0*AH281)*2</f>
        <v>0</v>
      </c>
      <c r="AK281" s="100">
        <v>0</v>
      </c>
      <c r="AL281" s="100">
        <v>24290</v>
      </c>
      <c r="AM281" s="100">
        <v>0</v>
      </c>
      <c r="AN281" s="100">
        <v>0</v>
      </c>
      <c r="AO281" s="100">
        <v>0</v>
      </c>
      <c r="AP281" s="100">
        <f t="shared" si="136"/>
        <v>140106</v>
      </c>
      <c r="AQ281" s="101">
        <f t="shared" si="148"/>
        <v>2942225</v>
      </c>
      <c r="AR281" s="101">
        <v>0</v>
      </c>
      <c r="AS281" s="101">
        <v>0</v>
      </c>
      <c r="AT281" s="102" t="s">
        <v>33</v>
      </c>
      <c r="AU281" s="157">
        <v>7</v>
      </c>
      <c r="AV281" s="100">
        <f>28.88-12.38</f>
        <v>16.5</v>
      </c>
      <c r="AW281" s="105"/>
      <c r="AX281" s="106">
        <f t="shared" ref="AX281:AX289" si="151">IFERROR((AG281/AF281)*100, "")</f>
        <v>2.1565874207137066</v>
      </c>
      <c r="AY281" s="101">
        <f t="shared" ref="AY281:AY289" si="152">ROUNDUP(AG281*AH281,0)</f>
        <v>59907</v>
      </c>
      <c r="AZ281" s="107"/>
      <c r="BA281" s="94">
        <v>45446.041666666664</v>
      </c>
      <c r="BB281" s="94">
        <v>45446.048611111109</v>
      </c>
      <c r="BC281" s="94">
        <v>45446.048611111109</v>
      </c>
      <c r="BD281" s="94">
        <v>45446.186805555553</v>
      </c>
      <c r="BE281" s="95">
        <f t="shared" ref="BE281:BE290" si="153">+BD281-BA281</f>
        <v>0.14513888888905058</v>
      </c>
      <c r="BF281" s="95">
        <v>6.9444444444444441E-3</v>
      </c>
      <c r="BG281" s="95">
        <v>0</v>
      </c>
      <c r="BH281" s="95">
        <f t="shared" ref="BH281:BJ290" si="154">+BB281-BA281</f>
        <v>6.9444444452528842E-3</v>
      </c>
      <c r="BI281" s="95">
        <f t="shared" si="154"/>
        <v>0</v>
      </c>
      <c r="BJ281" s="95">
        <f t="shared" si="154"/>
        <v>0.13819444444379769</v>
      </c>
      <c r="BK281" s="95">
        <f t="shared" ref="BK281:BK290" si="155">+BI281+BJ281</f>
        <v>0.13819444444379769</v>
      </c>
      <c r="BL281" s="95">
        <f t="shared" ref="BL281:BL290" si="156">+BE281-BH281-BF281-BG281</f>
        <v>0.13124999999935325</v>
      </c>
      <c r="BM281" s="95" t="str">
        <f t="shared" ref="BM281:BM290" si="157">IF(VALUE(BE281)&lt;=VALUE("05:00"),"00:00",VALUE(BE281)-VALUE("05:00"))</f>
        <v>00:00</v>
      </c>
      <c r="BN281" s="110"/>
    </row>
    <row r="282" spans="1:66" s="8" customFormat="1" ht="12.75" customHeight="1" x14ac:dyDescent="0.25">
      <c r="A282" s="150">
        <v>244</v>
      </c>
      <c r="B282" s="150">
        <v>9</v>
      </c>
      <c r="C282" s="90">
        <v>3</v>
      </c>
      <c r="D282" s="90" t="s">
        <v>148</v>
      </c>
      <c r="E282" s="91" t="s">
        <v>425</v>
      </c>
      <c r="F282" s="90" t="s">
        <v>19</v>
      </c>
      <c r="G282" s="90" t="s">
        <v>17</v>
      </c>
      <c r="H282" s="90" t="s">
        <v>150</v>
      </c>
      <c r="I282" s="135" t="s">
        <v>428</v>
      </c>
      <c r="J282" s="151">
        <v>45441</v>
      </c>
      <c r="K282" s="135" t="s">
        <v>122</v>
      </c>
      <c r="L282" s="135">
        <v>461000270</v>
      </c>
      <c r="M282" s="151">
        <v>45446</v>
      </c>
      <c r="N282" s="152">
        <v>45446.208333333336</v>
      </c>
      <c r="O282" s="152">
        <v>45446.208333333336</v>
      </c>
      <c r="P282" s="152">
        <v>45415.215277777781</v>
      </c>
      <c r="Q282" s="152">
        <v>45446.416666666664</v>
      </c>
      <c r="R282" s="114" t="s">
        <v>118</v>
      </c>
      <c r="S282" s="114" t="s">
        <v>118</v>
      </c>
      <c r="T282" s="160">
        <v>45446.458333333336</v>
      </c>
      <c r="U282" s="160">
        <v>45446.458333333336</v>
      </c>
      <c r="V282" s="95">
        <f t="shared" si="149"/>
        <v>0.20833333332848269</v>
      </c>
      <c r="W282" s="95">
        <v>0.20833333333333334</v>
      </c>
      <c r="X282" s="95" t="str">
        <f t="shared" si="150"/>
        <v>00:00</v>
      </c>
      <c r="Y282" s="96">
        <v>0</v>
      </c>
      <c r="Z282" s="96">
        <v>59</v>
      </c>
      <c r="AA282" s="96">
        <f t="shared" si="106"/>
        <v>59</v>
      </c>
      <c r="AB282" s="97">
        <f t="shared" si="107"/>
        <v>0</v>
      </c>
      <c r="AC282" s="97">
        <f t="shared" si="108"/>
        <v>4004.7599999999998</v>
      </c>
      <c r="AD282" s="98">
        <v>4004.76</v>
      </c>
      <c r="AE282" s="98">
        <v>4111.6000000000004</v>
      </c>
      <c r="AF282" s="98">
        <v>4113</v>
      </c>
      <c r="AG282" s="98">
        <f t="shared" si="109"/>
        <v>108.23999999999978</v>
      </c>
      <c r="AH282" s="99">
        <v>672.5</v>
      </c>
      <c r="AI282" s="100">
        <f t="shared" si="110"/>
        <v>2765992.5</v>
      </c>
      <c r="AJ282" s="100">
        <f>(0.2*AH282)*2</f>
        <v>269</v>
      </c>
      <c r="AK282" s="100">
        <v>0</v>
      </c>
      <c r="AL282" s="100">
        <v>0</v>
      </c>
      <c r="AM282" s="100">
        <v>0</v>
      </c>
      <c r="AN282" s="100">
        <v>0</v>
      </c>
      <c r="AO282" s="100">
        <v>0</v>
      </c>
      <c r="AP282" s="100">
        <f t="shared" si="136"/>
        <v>138314</v>
      </c>
      <c r="AQ282" s="101">
        <f t="shared" si="148"/>
        <v>2904576</v>
      </c>
      <c r="AR282" s="101">
        <v>0</v>
      </c>
      <c r="AS282" s="101">
        <v>0</v>
      </c>
      <c r="AT282" s="102" t="s">
        <v>33</v>
      </c>
      <c r="AU282" s="157" t="s">
        <v>118</v>
      </c>
      <c r="AV282" s="100">
        <v>0</v>
      </c>
      <c r="AW282" s="105"/>
      <c r="AX282" s="106">
        <f t="shared" si="151"/>
        <v>2.6316557257476241</v>
      </c>
      <c r="AY282" s="101">
        <f t="shared" si="152"/>
        <v>72792</v>
      </c>
      <c r="AZ282" s="107"/>
      <c r="BA282" s="94">
        <v>45446.208333333336</v>
      </c>
      <c r="BB282" s="94">
        <v>45446.215277777781</v>
      </c>
      <c r="BC282" s="94">
        <v>45446.226388888892</v>
      </c>
      <c r="BD282" s="94">
        <v>45446.405555555553</v>
      </c>
      <c r="BE282" s="95">
        <f t="shared" si="153"/>
        <v>0.19722222221753327</v>
      </c>
      <c r="BF282" s="95">
        <v>3.1944444444444442E-2</v>
      </c>
      <c r="BG282" s="95">
        <v>1.1111111111111112E-2</v>
      </c>
      <c r="BH282" s="95">
        <f t="shared" si="154"/>
        <v>6.9444444452528842E-3</v>
      </c>
      <c r="BI282" s="95">
        <f t="shared" si="154"/>
        <v>1.1111111110949423E-2</v>
      </c>
      <c r="BJ282" s="95">
        <f t="shared" si="154"/>
        <v>0.17916666666133096</v>
      </c>
      <c r="BK282" s="95">
        <f t="shared" si="155"/>
        <v>0.19027777777228039</v>
      </c>
      <c r="BL282" s="95">
        <f t="shared" si="156"/>
        <v>0.14722222221672485</v>
      </c>
      <c r="BM282" s="95" t="str">
        <f t="shared" si="157"/>
        <v>00:00</v>
      </c>
      <c r="BN282" s="110"/>
    </row>
    <row r="283" spans="1:66" s="8" customFormat="1" ht="12.75" customHeight="1" x14ac:dyDescent="0.25">
      <c r="A283" s="150">
        <v>245</v>
      </c>
      <c r="B283" s="150">
        <v>10</v>
      </c>
      <c r="C283" s="90">
        <v>5</v>
      </c>
      <c r="D283" s="90" t="s">
        <v>113</v>
      </c>
      <c r="E283" s="91" t="s">
        <v>366</v>
      </c>
      <c r="F283" s="90" t="s">
        <v>13</v>
      </c>
      <c r="G283" s="90" t="s">
        <v>8</v>
      </c>
      <c r="H283" s="90" t="s">
        <v>131</v>
      </c>
      <c r="I283" s="135" t="s">
        <v>429</v>
      </c>
      <c r="J283" s="151">
        <v>45446</v>
      </c>
      <c r="K283" s="135" t="s">
        <v>117</v>
      </c>
      <c r="L283" s="135">
        <v>282000958</v>
      </c>
      <c r="M283" s="151">
        <v>45447</v>
      </c>
      <c r="N283" s="152">
        <v>45446.506944444445</v>
      </c>
      <c r="O283" s="152">
        <v>45446.506944444445</v>
      </c>
      <c r="P283" s="152">
        <v>45446.510416666664</v>
      </c>
      <c r="Q283" s="152">
        <v>45446.697916666664</v>
      </c>
      <c r="R283" s="114" t="s">
        <v>118</v>
      </c>
      <c r="S283" s="114" t="s">
        <v>118</v>
      </c>
      <c r="T283" s="114">
        <v>45446.736111111109</v>
      </c>
      <c r="U283" s="114">
        <v>45446.810416666667</v>
      </c>
      <c r="V283" s="95">
        <f t="shared" si="149"/>
        <v>0.19097222221898846</v>
      </c>
      <c r="W283" s="95">
        <v>0.20833333333333334</v>
      </c>
      <c r="X283" s="95" t="str">
        <f t="shared" si="150"/>
        <v>00:00</v>
      </c>
      <c r="Y283" s="96">
        <v>0</v>
      </c>
      <c r="Z283" s="96">
        <v>59</v>
      </c>
      <c r="AA283" s="96">
        <f t="shared" ref="AA283:AA344" si="158">+Y283+Z283</f>
        <v>59</v>
      </c>
      <c r="AB283" s="97">
        <f t="shared" ref="AB283:AB344" si="159">+AD283/AA283*Y283</f>
        <v>0</v>
      </c>
      <c r="AC283" s="97">
        <f t="shared" ref="AC283:AC344" si="160">+AD283/AA283*Z283</f>
        <v>4014.23</v>
      </c>
      <c r="AD283" s="98">
        <v>4014.23</v>
      </c>
      <c r="AE283" s="98">
        <v>4014.3</v>
      </c>
      <c r="AF283" s="98">
        <v>4106.2</v>
      </c>
      <c r="AG283" s="98">
        <f t="shared" ref="AG283:AG344" si="161">+AF283-AD283</f>
        <v>91.9699999999998</v>
      </c>
      <c r="AH283" s="99">
        <v>1398.7</v>
      </c>
      <c r="AI283" s="100">
        <f t="shared" ref="AI283:AI344" si="162">+AF283*AH283</f>
        <v>5743341.9399999995</v>
      </c>
      <c r="AJ283" s="100">
        <f>(0.2*AH283)*2</f>
        <v>559.48</v>
      </c>
      <c r="AK283" s="100">
        <v>0</v>
      </c>
      <c r="AL283" s="100">
        <v>0</v>
      </c>
      <c r="AM283" s="100">
        <v>0</v>
      </c>
      <c r="AN283" s="100">
        <v>0</v>
      </c>
      <c r="AO283" s="100">
        <v>0</v>
      </c>
      <c r="AP283" s="100">
        <f t="shared" si="136"/>
        <v>287196</v>
      </c>
      <c r="AQ283" s="101">
        <f t="shared" si="148"/>
        <v>6031098</v>
      </c>
      <c r="AR283" s="101">
        <v>0</v>
      </c>
      <c r="AS283" s="101">
        <v>0</v>
      </c>
      <c r="AT283" s="102" t="s">
        <v>33</v>
      </c>
      <c r="AU283" s="157" t="s">
        <v>118</v>
      </c>
      <c r="AV283" s="100">
        <v>0</v>
      </c>
      <c r="AW283" s="105"/>
      <c r="AX283" s="106">
        <f t="shared" si="151"/>
        <v>2.2397837416589499</v>
      </c>
      <c r="AY283" s="101">
        <f t="shared" si="152"/>
        <v>128639</v>
      </c>
      <c r="AZ283" s="107"/>
      <c r="BA283" s="94">
        <v>45446.506944444445</v>
      </c>
      <c r="BB283" s="94">
        <v>45446.510416666664</v>
      </c>
      <c r="BC283" s="94">
        <v>45446.53125</v>
      </c>
      <c r="BD283" s="94">
        <v>45446.659722222219</v>
      </c>
      <c r="BE283" s="95">
        <f t="shared" si="153"/>
        <v>0.15277777777373558</v>
      </c>
      <c r="BF283" s="95">
        <v>2.7777777777777776E-2</v>
      </c>
      <c r="BG283" s="95">
        <v>0</v>
      </c>
      <c r="BH283" s="95">
        <f t="shared" si="154"/>
        <v>3.4722222189884633E-3</v>
      </c>
      <c r="BI283" s="95">
        <f t="shared" si="154"/>
        <v>2.0833333335758653E-2</v>
      </c>
      <c r="BJ283" s="95">
        <f t="shared" si="154"/>
        <v>0.12847222221898846</v>
      </c>
      <c r="BK283" s="95">
        <f t="shared" si="155"/>
        <v>0.14930555555474712</v>
      </c>
      <c r="BL283" s="95">
        <f t="shared" si="156"/>
        <v>0.12152777777696934</v>
      </c>
      <c r="BM283" s="95" t="str">
        <f t="shared" si="157"/>
        <v>00:00</v>
      </c>
      <c r="BN283" s="110"/>
    </row>
    <row r="284" spans="1:66" s="8" customFormat="1" ht="12.75" customHeight="1" x14ac:dyDescent="0.25">
      <c r="A284" s="150">
        <v>246</v>
      </c>
      <c r="B284" s="150">
        <v>11</v>
      </c>
      <c r="C284" s="90">
        <v>15</v>
      </c>
      <c r="D284" s="90" t="s">
        <v>113</v>
      </c>
      <c r="E284" s="91" t="s">
        <v>319</v>
      </c>
      <c r="F284" s="90" t="s">
        <v>32</v>
      </c>
      <c r="G284" s="90" t="s">
        <v>8</v>
      </c>
      <c r="H284" s="90" t="s">
        <v>213</v>
      </c>
      <c r="I284" s="135" t="s">
        <v>430</v>
      </c>
      <c r="J284" s="151">
        <v>45446</v>
      </c>
      <c r="K284" s="135" t="s">
        <v>122</v>
      </c>
      <c r="L284" s="135">
        <v>262009748</v>
      </c>
      <c r="M284" s="151">
        <v>45446</v>
      </c>
      <c r="N284" s="152">
        <v>45446.645833333336</v>
      </c>
      <c r="O284" s="152">
        <v>45446.645833333336</v>
      </c>
      <c r="P284" s="152">
        <v>45446.649305555555</v>
      </c>
      <c r="Q284" s="152">
        <v>45446.822916666664</v>
      </c>
      <c r="R284" s="114" t="s">
        <v>118</v>
      </c>
      <c r="S284" s="114" t="s">
        <v>118</v>
      </c>
      <c r="T284" s="114">
        <v>45446.833333333336</v>
      </c>
      <c r="U284" s="114">
        <v>45446.974305555559</v>
      </c>
      <c r="V284" s="95">
        <f t="shared" si="149"/>
        <v>0.17708333332848269</v>
      </c>
      <c r="W284" s="95">
        <v>0.20833333333333334</v>
      </c>
      <c r="X284" s="95" t="str">
        <f t="shared" si="150"/>
        <v>00:00</v>
      </c>
      <c r="Y284" s="96">
        <v>0</v>
      </c>
      <c r="Z284" s="96">
        <v>58</v>
      </c>
      <c r="AA284" s="96">
        <f t="shared" si="158"/>
        <v>58</v>
      </c>
      <c r="AB284" s="97">
        <f t="shared" si="159"/>
        <v>0</v>
      </c>
      <c r="AC284" s="97">
        <f t="shared" si="160"/>
        <v>3930.27</v>
      </c>
      <c r="AD284" s="98">
        <v>3930.27</v>
      </c>
      <c r="AE284" s="98">
        <v>4035.6</v>
      </c>
      <c r="AF284" s="98">
        <v>4035.6</v>
      </c>
      <c r="AG284" s="98">
        <f t="shared" si="161"/>
        <v>105.32999999999993</v>
      </c>
      <c r="AH284" s="99">
        <v>2329.4</v>
      </c>
      <c r="AI284" s="100">
        <f t="shared" si="162"/>
        <v>9400526.6400000006</v>
      </c>
      <c r="AJ284" s="100">
        <f t="shared" ref="AJ284:AJ297" si="163">(0*AH284)*2</f>
        <v>0</v>
      </c>
      <c r="AK284" s="100">
        <v>0</v>
      </c>
      <c r="AL284" s="100">
        <v>0</v>
      </c>
      <c r="AM284" s="100">
        <v>0</v>
      </c>
      <c r="AN284" s="100">
        <v>0</v>
      </c>
      <c r="AO284" s="100">
        <v>0</v>
      </c>
      <c r="AP284" s="100">
        <f t="shared" si="136"/>
        <v>470027</v>
      </c>
      <c r="AQ284" s="101">
        <f t="shared" si="148"/>
        <v>9870554</v>
      </c>
      <c r="AR284" s="101">
        <v>0</v>
      </c>
      <c r="AS284" s="101">
        <v>0</v>
      </c>
      <c r="AT284" s="102" t="s">
        <v>33</v>
      </c>
      <c r="AU284" s="157" t="s">
        <v>118</v>
      </c>
      <c r="AV284" s="100">
        <v>0</v>
      </c>
      <c r="AW284" s="105"/>
      <c r="AX284" s="106">
        <f t="shared" si="151"/>
        <v>2.6100208147487347</v>
      </c>
      <c r="AY284" s="101">
        <f t="shared" si="152"/>
        <v>245356</v>
      </c>
      <c r="AZ284" s="107"/>
      <c r="BA284" s="94">
        <v>45446.645833333336</v>
      </c>
      <c r="BB284" s="94">
        <v>45446.649305555555</v>
      </c>
      <c r="BC284" s="94">
        <v>45446.684027777781</v>
      </c>
      <c r="BD284" s="94">
        <v>45446.8125</v>
      </c>
      <c r="BE284" s="95">
        <f t="shared" si="153"/>
        <v>0.16666666666424135</v>
      </c>
      <c r="BF284" s="95">
        <v>6.9444444444444441E-3</v>
      </c>
      <c r="BG284" s="95">
        <v>2.7777777777777776E-2</v>
      </c>
      <c r="BH284" s="95">
        <f t="shared" si="154"/>
        <v>3.4722222189884633E-3</v>
      </c>
      <c r="BI284" s="95">
        <f t="shared" si="154"/>
        <v>3.4722222226264421E-2</v>
      </c>
      <c r="BJ284" s="95">
        <f t="shared" si="154"/>
        <v>0.12847222221898846</v>
      </c>
      <c r="BK284" s="95">
        <f t="shared" si="155"/>
        <v>0.16319444444525288</v>
      </c>
      <c r="BL284" s="95">
        <f t="shared" si="156"/>
        <v>0.12847222222303067</v>
      </c>
      <c r="BM284" s="95" t="str">
        <f t="shared" si="157"/>
        <v>00:00</v>
      </c>
      <c r="BN284" s="110"/>
    </row>
    <row r="285" spans="1:66" s="8" customFormat="1" ht="12.75" customHeight="1" x14ac:dyDescent="0.25">
      <c r="A285" s="150">
        <v>247</v>
      </c>
      <c r="B285" s="150">
        <v>12</v>
      </c>
      <c r="C285" s="90">
        <v>4</v>
      </c>
      <c r="D285" s="90" t="s">
        <v>148</v>
      </c>
      <c r="E285" s="91" t="s">
        <v>425</v>
      </c>
      <c r="F285" s="90" t="s">
        <v>19</v>
      </c>
      <c r="G285" s="90" t="s">
        <v>17</v>
      </c>
      <c r="H285" s="90" t="s">
        <v>150</v>
      </c>
      <c r="I285" s="135" t="s">
        <v>431</v>
      </c>
      <c r="J285" s="151">
        <v>45441</v>
      </c>
      <c r="K285" s="135" t="s">
        <v>117</v>
      </c>
      <c r="L285" s="135">
        <v>461000271</v>
      </c>
      <c r="M285" s="151">
        <v>45447</v>
      </c>
      <c r="N285" s="152">
        <v>45446.847222222219</v>
      </c>
      <c r="O285" s="152">
        <v>45446.822916666664</v>
      </c>
      <c r="P285" s="152">
        <v>45446.854166666664</v>
      </c>
      <c r="Q285" s="152">
        <v>45446.993055555555</v>
      </c>
      <c r="R285" s="114">
        <v>45446.847222222219</v>
      </c>
      <c r="S285" s="114" t="s">
        <v>118</v>
      </c>
      <c r="T285" s="114">
        <v>45447.041666666664</v>
      </c>
      <c r="U285" s="114">
        <v>45447.208333333336</v>
      </c>
      <c r="V285" s="95">
        <f t="shared" si="149"/>
        <v>0.17013888889050577</v>
      </c>
      <c r="W285" s="95">
        <v>0.20833333333333334</v>
      </c>
      <c r="X285" s="95" t="str">
        <f t="shared" si="150"/>
        <v>00:00</v>
      </c>
      <c r="Y285" s="96">
        <v>0</v>
      </c>
      <c r="Z285" s="96">
        <v>59</v>
      </c>
      <c r="AA285" s="96">
        <f t="shared" si="158"/>
        <v>59</v>
      </c>
      <c r="AB285" s="97">
        <f t="shared" si="159"/>
        <v>0</v>
      </c>
      <c r="AC285" s="97">
        <f t="shared" si="160"/>
        <v>4132.46</v>
      </c>
      <c r="AD285" s="98">
        <v>4132.46</v>
      </c>
      <c r="AE285" s="98">
        <v>4101.7</v>
      </c>
      <c r="AF285" s="98">
        <v>4145</v>
      </c>
      <c r="AG285" s="98">
        <f t="shared" si="161"/>
        <v>12.539999999999964</v>
      </c>
      <c r="AH285" s="99">
        <v>672.5</v>
      </c>
      <c r="AI285" s="100">
        <f t="shared" si="162"/>
        <v>2787512.5</v>
      </c>
      <c r="AJ285" s="100">
        <f t="shared" si="163"/>
        <v>0</v>
      </c>
      <c r="AK285" s="100">
        <v>0</v>
      </c>
      <c r="AL285" s="100">
        <v>48580</v>
      </c>
      <c r="AM285" s="100">
        <v>0</v>
      </c>
      <c r="AN285" s="100">
        <v>0</v>
      </c>
      <c r="AO285" s="100">
        <v>0</v>
      </c>
      <c r="AP285" s="100">
        <f t="shared" si="136"/>
        <v>141805</v>
      </c>
      <c r="AQ285" s="101">
        <f t="shared" si="148"/>
        <v>2977898</v>
      </c>
      <c r="AR285" s="101">
        <v>0</v>
      </c>
      <c r="AS285" s="101">
        <v>0</v>
      </c>
      <c r="AT285" s="102" t="s">
        <v>33</v>
      </c>
      <c r="AU285" s="157">
        <v>37</v>
      </c>
      <c r="AV285" s="100">
        <f>97.42-37.92</f>
        <v>59.5</v>
      </c>
      <c r="AW285" s="105"/>
      <c r="AX285" s="106">
        <f t="shared" si="151"/>
        <v>0.30253317249698342</v>
      </c>
      <c r="AY285" s="101">
        <f t="shared" si="152"/>
        <v>8434</v>
      </c>
      <c r="AZ285" s="107"/>
      <c r="BA285" s="94">
        <v>45446.847222222219</v>
      </c>
      <c r="BB285" s="94">
        <v>45446.854166666664</v>
      </c>
      <c r="BC285" s="94">
        <v>45446.854166666664</v>
      </c>
      <c r="BD285" s="94">
        <v>45446.992361111108</v>
      </c>
      <c r="BE285" s="95">
        <f t="shared" si="153"/>
        <v>0.14513888888905058</v>
      </c>
      <c r="BF285" s="95">
        <v>6.2500000000000003E-3</v>
      </c>
      <c r="BG285" s="95">
        <v>0</v>
      </c>
      <c r="BH285" s="95">
        <f t="shared" si="154"/>
        <v>6.9444444452528842E-3</v>
      </c>
      <c r="BI285" s="95">
        <f t="shared" si="154"/>
        <v>0</v>
      </c>
      <c r="BJ285" s="95">
        <f t="shared" si="154"/>
        <v>0.13819444444379769</v>
      </c>
      <c r="BK285" s="95">
        <f t="shared" si="155"/>
        <v>0.13819444444379769</v>
      </c>
      <c r="BL285" s="95">
        <f t="shared" si="156"/>
        <v>0.13194444444379769</v>
      </c>
      <c r="BM285" s="95" t="str">
        <f t="shared" si="157"/>
        <v>00:00</v>
      </c>
      <c r="BN285" s="110"/>
    </row>
    <row r="286" spans="1:66" s="8" customFormat="1" ht="12.75" customHeight="1" x14ac:dyDescent="0.25">
      <c r="A286" s="150">
        <v>248</v>
      </c>
      <c r="B286" s="150">
        <v>13</v>
      </c>
      <c r="C286" s="90">
        <v>14</v>
      </c>
      <c r="D286" s="90" t="s">
        <v>113</v>
      </c>
      <c r="E286" s="91" t="s">
        <v>299</v>
      </c>
      <c r="F286" s="90" t="s">
        <v>7</v>
      </c>
      <c r="G286" s="90" t="s">
        <v>8</v>
      </c>
      <c r="H286" s="90" t="s">
        <v>412</v>
      </c>
      <c r="I286" s="135" t="s">
        <v>432</v>
      </c>
      <c r="J286" s="151">
        <v>45446</v>
      </c>
      <c r="K286" s="135" t="s">
        <v>122</v>
      </c>
      <c r="L286" s="135">
        <v>282000959</v>
      </c>
      <c r="M286" s="151">
        <v>45447</v>
      </c>
      <c r="N286" s="152">
        <v>45447.010416666664</v>
      </c>
      <c r="O286" s="152">
        <v>45446.989583333336</v>
      </c>
      <c r="P286" s="152">
        <v>45447.024305555555</v>
      </c>
      <c r="Q286" s="152">
        <v>45447.197916666664</v>
      </c>
      <c r="R286" s="114">
        <v>45447.010416666664</v>
      </c>
      <c r="S286" s="114" t="s">
        <v>118</v>
      </c>
      <c r="T286" s="114">
        <v>45447.368055555555</v>
      </c>
      <c r="U286" s="114">
        <v>45447.480555555558</v>
      </c>
      <c r="V286" s="95">
        <f t="shared" si="149"/>
        <v>0.20833333332848269</v>
      </c>
      <c r="W286" s="95">
        <v>0.20833333333333334</v>
      </c>
      <c r="X286" s="95" t="str">
        <f t="shared" si="150"/>
        <v>00:00</v>
      </c>
      <c r="Y286" s="96">
        <v>0</v>
      </c>
      <c r="Z286" s="96">
        <v>57</v>
      </c>
      <c r="AA286" s="96">
        <f t="shared" si="158"/>
        <v>57</v>
      </c>
      <c r="AB286" s="97">
        <f t="shared" si="159"/>
        <v>0</v>
      </c>
      <c r="AC286" s="97">
        <f t="shared" si="160"/>
        <v>3822.76</v>
      </c>
      <c r="AD286" s="98">
        <v>3822.76</v>
      </c>
      <c r="AE286" s="98">
        <v>3954.6</v>
      </c>
      <c r="AF286" s="98">
        <v>3955</v>
      </c>
      <c r="AG286" s="98">
        <f t="shared" si="161"/>
        <v>132.23999999999978</v>
      </c>
      <c r="AH286" s="99">
        <v>2025.7</v>
      </c>
      <c r="AI286" s="100">
        <f t="shared" si="162"/>
        <v>8011643.5</v>
      </c>
      <c r="AJ286" s="100">
        <f t="shared" si="163"/>
        <v>0</v>
      </c>
      <c r="AK286" s="100">
        <v>0</v>
      </c>
      <c r="AL286" s="100">
        <v>0</v>
      </c>
      <c r="AM286" s="100">
        <v>0</v>
      </c>
      <c r="AN286" s="100">
        <v>0</v>
      </c>
      <c r="AO286" s="100">
        <f>IFERROR(AF286*20+(((AJ286/AH286)/2)*20),0)</f>
        <v>79100</v>
      </c>
      <c r="AP286" s="100">
        <f t="shared" si="136"/>
        <v>404538</v>
      </c>
      <c r="AQ286" s="101">
        <f t="shared" si="148"/>
        <v>8495282</v>
      </c>
      <c r="AR286" s="101">
        <v>0</v>
      </c>
      <c r="AS286" s="101">
        <v>0</v>
      </c>
      <c r="AT286" s="102" t="s">
        <v>33</v>
      </c>
      <c r="AU286" s="157" t="s">
        <v>118</v>
      </c>
      <c r="AV286" s="100">
        <v>0</v>
      </c>
      <c r="AW286" s="105"/>
      <c r="AX286" s="106">
        <f t="shared" si="151"/>
        <v>3.3436156763590339</v>
      </c>
      <c r="AY286" s="101">
        <f t="shared" si="152"/>
        <v>267879</v>
      </c>
      <c r="AZ286" s="107"/>
      <c r="BA286" s="94">
        <v>45447.010416666664</v>
      </c>
      <c r="BB286" s="94">
        <v>45447.024305555555</v>
      </c>
      <c r="BC286" s="94">
        <v>45447.024305555555</v>
      </c>
      <c r="BD286" s="94">
        <v>45447.145138888889</v>
      </c>
      <c r="BE286" s="95">
        <f t="shared" si="153"/>
        <v>0.13472222222480923</v>
      </c>
      <c r="BF286" s="95">
        <v>0</v>
      </c>
      <c r="BG286" s="95">
        <v>2.7777777777777779E-3</v>
      </c>
      <c r="BH286" s="95">
        <f t="shared" si="154"/>
        <v>1.3888888890505768E-2</v>
      </c>
      <c r="BI286" s="95">
        <f t="shared" si="154"/>
        <v>0</v>
      </c>
      <c r="BJ286" s="95">
        <f t="shared" si="154"/>
        <v>0.12083333333430346</v>
      </c>
      <c r="BK286" s="95">
        <f t="shared" si="155"/>
        <v>0.12083333333430346</v>
      </c>
      <c r="BL286" s="95">
        <f t="shared" si="156"/>
        <v>0.11805555555652568</v>
      </c>
      <c r="BM286" s="95" t="str">
        <f t="shared" si="157"/>
        <v>00:00</v>
      </c>
      <c r="BN286" s="110"/>
    </row>
    <row r="287" spans="1:66" s="8" customFormat="1" ht="12.75" customHeight="1" x14ac:dyDescent="0.25">
      <c r="A287" s="150">
        <v>249</v>
      </c>
      <c r="B287" s="150">
        <v>14</v>
      </c>
      <c r="C287" s="90">
        <v>5</v>
      </c>
      <c r="D287" s="90" t="s">
        <v>148</v>
      </c>
      <c r="E287" s="91" t="s">
        <v>425</v>
      </c>
      <c r="F287" s="90" t="s">
        <v>19</v>
      </c>
      <c r="G287" s="90" t="s">
        <v>17</v>
      </c>
      <c r="H287" s="90" t="s">
        <v>150</v>
      </c>
      <c r="I287" s="135" t="s">
        <v>433</v>
      </c>
      <c r="J287" s="151">
        <v>45441</v>
      </c>
      <c r="K287" s="135" t="s">
        <v>117</v>
      </c>
      <c r="L287" s="135">
        <v>461000272</v>
      </c>
      <c r="M287" s="151">
        <v>45447</v>
      </c>
      <c r="N287" s="152">
        <v>45447.239583333336</v>
      </c>
      <c r="O287" s="152">
        <v>45447.239583333336</v>
      </c>
      <c r="P287" s="152">
        <v>45447.256944444445</v>
      </c>
      <c r="Q287" s="152">
        <v>45447.416666666664</v>
      </c>
      <c r="R287" s="114" t="s">
        <v>118</v>
      </c>
      <c r="S287" s="114" t="s">
        <v>118</v>
      </c>
      <c r="T287" s="114">
        <v>45447.548611111109</v>
      </c>
      <c r="U287" s="114">
        <v>45447.722222222219</v>
      </c>
      <c r="V287" s="95">
        <f t="shared" si="149"/>
        <v>0.17708333332848269</v>
      </c>
      <c r="W287" s="95">
        <v>0.20833333333333334</v>
      </c>
      <c r="X287" s="95" t="str">
        <f t="shared" si="150"/>
        <v>00:00</v>
      </c>
      <c r="Y287" s="96">
        <v>0</v>
      </c>
      <c r="Z287" s="96">
        <v>59</v>
      </c>
      <c r="AA287" s="96">
        <f t="shared" si="158"/>
        <v>59</v>
      </c>
      <c r="AB287" s="97">
        <f t="shared" si="159"/>
        <v>0</v>
      </c>
      <c r="AC287" s="97">
        <f t="shared" si="160"/>
        <v>4112.42</v>
      </c>
      <c r="AD287" s="98">
        <v>4112.42</v>
      </c>
      <c r="AE287" s="98">
        <v>4107.3999999999996</v>
      </c>
      <c r="AF287" s="98">
        <v>4134.2</v>
      </c>
      <c r="AG287" s="98">
        <f t="shared" si="161"/>
        <v>21.779999999999745</v>
      </c>
      <c r="AH287" s="99">
        <v>672.5</v>
      </c>
      <c r="AI287" s="100">
        <f t="shared" si="162"/>
        <v>2780249.5</v>
      </c>
      <c r="AJ287" s="100">
        <f t="shared" si="163"/>
        <v>0</v>
      </c>
      <c r="AK287" s="100">
        <v>0</v>
      </c>
      <c r="AL287" s="100">
        <v>24290</v>
      </c>
      <c r="AM287" s="100">
        <v>0</v>
      </c>
      <c r="AN287" s="100">
        <v>0</v>
      </c>
      <c r="AO287" s="100">
        <v>0</v>
      </c>
      <c r="AP287" s="100">
        <f t="shared" si="136"/>
        <v>140227</v>
      </c>
      <c r="AQ287" s="101">
        <f t="shared" si="148"/>
        <v>2944767</v>
      </c>
      <c r="AR287" s="101">
        <v>0</v>
      </c>
      <c r="AS287" s="101">
        <v>0</v>
      </c>
      <c r="AT287" s="102" t="s">
        <v>33</v>
      </c>
      <c r="AU287" s="157">
        <v>17</v>
      </c>
      <c r="AV287" s="100">
        <f>40.44-23.94</f>
        <v>16.499999999999996</v>
      </c>
      <c r="AW287" s="105"/>
      <c r="AX287" s="106">
        <f t="shared" si="151"/>
        <v>0.52682502056019898</v>
      </c>
      <c r="AY287" s="101">
        <f t="shared" si="152"/>
        <v>14648</v>
      </c>
      <c r="AZ287" s="107"/>
      <c r="BA287" s="94">
        <v>45447.239583333336</v>
      </c>
      <c r="BB287" s="94">
        <v>45447.256944444445</v>
      </c>
      <c r="BC287" s="94">
        <v>45447.263888888891</v>
      </c>
      <c r="BD287" s="94">
        <v>45447.431944444441</v>
      </c>
      <c r="BE287" s="95">
        <f t="shared" si="153"/>
        <v>0.19236111110512866</v>
      </c>
      <c r="BF287" s="95">
        <v>6.9444444444444441E-3</v>
      </c>
      <c r="BG287" s="95">
        <v>3.0555555555555555E-2</v>
      </c>
      <c r="BH287" s="95">
        <f t="shared" si="154"/>
        <v>1.7361111109494232E-2</v>
      </c>
      <c r="BI287" s="95">
        <f t="shared" si="154"/>
        <v>6.9444444452528842E-3</v>
      </c>
      <c r="BJ287" s="95">
        <f t="shared" si="154"/>
        <v>0.16805555555038154</v>
      </c>
      <c r="BK287" s="95">
        <f t="shared" si="155"/>
        <v>0.17499999999563443</v>
      </c>
      <c r="BL287" s="95">
        <f t="shared" si="156"/>
        <v>0.13749999999563442</v>
      </c>
      <c r="BM287" s="95" t="str">
        <f t="shared" si="157"/>
        <v>00:00</v>
      </c>
      <c r="BN287" s="110"/>
    </row>
    <row r="288" spans="1:66" s="8" customFormat="1" ht="12.75" customHeight="1" x14ac:dyDescent="0.25">
      <c r="A288" s="150">
        <v>250</v>
      </c>
      <c r="B288" s="150">
        <v>15</v>
      </c>
      <c r="C288" s="90">
        <v>6</v>
      </c>
      <c r="D288" s="90" t="s">
        <v>148</v>
      </c>
      <c r="E288" s="91" t="s">
        <v>425</v>
      </c>
      <c r="F288" s="90" t="s">
        <v>19</v>
      </c>
      <c r="G288" s="90" t="s">
        <v>17</v>
      </c>
      <c r="H288" s="90" t="s">
        <v>150</v>
      </c>
      <c r="I288" s="135" t="s">
        <v>434</v>
      </c>
      <c r="J288" s="151">
        <v>45441</v>
      </c>
      <c r="K288" s="135" t="s">
        <v>122</v>
      </c>
      <c r="L288" s="135">
        <v>461000273</v>
      </c>
      <c r="M288" s="151">
        <v>45447</v>
      </c>
      <c r="N288" s="152">
        <v>45447.555555555555</v>
      </c>
      <c r="O288" s="152">
        <v>45447.520833333336</v>
      </c>
      <c r="P288" s="152">
        <v>45447.559027777781</v>
      </c>
      <c r="Q288" s="152">
        <v>45447.729166666664</v>
      </c>
      <c r="R288" s="114">
        <v>45447.555555555555</v>
      </c>
      <c r="S288" s="114" t="s">
        <v>118</v>
      </c>
      <c r="T288" s="114">
        <v>45447.75</v>
      </c>
      <c r="U288" s="114">
        <v>45447.892361111109</v>
      </c>
      <c r="V288" s="95">
        <f t="shared" si="149"/>
        <v>0.20833333332848269</v>
      </c>
      <c r="W288" s="95">
        <v>0.20833333333333334</v>
      </c>
      <c r="X288" s="95" t="str">
        <f t="shared" si="150"/>
        <v>00:00</v>
      </c>
      <c r="Y288" s="96">
        <v>0</v>
      </c>
      <c r="Z288" s="96">
        <v>59</v>
      </c>
      <c r="AA288" s="96">
        <f t="shared" si="158"/>
        <v>59</v>
      </c>
      <c r="AB288" s="97">
        <f t="shared" si="159"/>
        <v>0</v>
      </c>
      <c r="AC288" s="97">
        <f t="shared" si="160"/>
        <v>4051.0500000000006</v>
      </c>
      <c r="AD288" s="98">
        <v>4051.05</v>
      </c>
      <c r="AE288" s="98">
        <v>4097.6000000000004</v>
      </c>
      <c r="AF288" s="98">
        <v>4106.2</v>
      </c>
      <c r="AG288" s="98">
        <f t="shared" si="161"/>
        <v>55.149999999999636</v>
      </c>
      <c r="AH288" s="99">
        <v>672.5</v>
      </c>
      <c r="AI288" s="100">
        <f t="shared" si="162"/>
        <v>2761419.5</v>
      </c>
      <c r="AJ288" s="100">
        <f t="shared" si="163"/>
        <v>0</v>
      </c>
      <c r="AK288" s="100">
        <v>0</v>
      </c>
      <c r="AL288" s="100">
        <v>24290</v>
      </c>
      <c r="AM288" s="100">
        <v>0</v>
      </c>
      <c r="AN288" s="100">
        <v>0</v>
      </c>
      <c r="AO288" s="100">
        <v>0</v>
      </c>
      <c r="AP288" s="100">
        <f t="shared" si="136"/>
        <v>139286</v>
      </c>
      <c r="AQ288" s="101">
        <f t="shared" si="148"/>
        <v>2924996</v>
      </c>
      <c r="AR288" s="101">
        <v>0</v>
      </c>
      <c r="AS288" s="101">
        <v>0</v>
      </c>
      <c r="AT288" s="102" t="s">
        <v>33</v>
      </c>
      <c r="AU288" s="157">
        <v>2</v>
      </c>
      <c r="AV288" s="100">
        <f>10.2-8.2</f>
        <v>2</v>
      </c>
      <c r="AW288" s="105"/>
      <c r="AX288" s="106">
        <f t="shared" si="151"/>
        <v>1.3430909356582639</v>
      </c>
      <c r="AY288" s="101">
        <f t="shared" si="152"/>
        <v>37089</v>
      </c>
      <c r="AZ288" s="107"/>
      <c r="BA288" s="94">
        <v>45447.555555555555</v>
      </c>
      <c r="BB288" s="94">
        <v>45447.559027777781</v>
      </c>
      <c r="BC288" s="94">
        <v>45447.572916666664</v>
      </c>
      <c r="BD288" s="94">
        <v>45447.716666666667</v>
      </c>
      <c r="BE288" s="95">
        <f t="shared" si="153"/>
        <v>0.16111111111240461</v>
      </c>
      <c r="BF288" s="95">
        <v>2.0833333333333332E-2</v>
      </c>
      <c r="BG288" s="95">
        <v>8.3333333333333332E-3</v>
      </c>
      <c r="BH288" s="95">
        <f t="shared" si="154"/>
        <v>3.4722222262644209E-3</v>
      </c>
      <c r="BI288" s="95">
        <f t="shared" si="154"/>
        <v>1.3888888883229811E-2</v>
      </c>
      <c r="BJ288" s="95">
        <f t="shared" si="154"/>
        <v>0.14375000000291038</v>
      </c>
      <c r="BK288" s="95">
        <f t="shared" si="155"/>
        <v>0.15763888888614019</v>
      </c>
      <c r="BL288" s="95">
        <f t="shared" si="156"/>
        <v>0.12847222221947352</v>
      </c>
      <c r="BM288" s="95" t="str">
        <f t="shared" si="157"/>
        <v>00:00</v>
      </c>
      <c r="BN288" s="110"/>
    </row>
    <row r="289" spans="1:66" s="8" customFormat="1" ht="12.75" customHeight="1" x14ac:dyDescent="0.25">
      <c r="A289" s="153">
        <v>251</v>
      </c>
      <c r="B289" s="150">
        <v>16</v>
      </c>
      <c r="C289" s="90">
        <v>13</v>
      </c>
      <c r="D289" s="90" t="s">
        <v>113</v>
      </c>
      <c r="E289" s="91" t="s">
        <v>296</v>
      </c>
      <c r="F289" s="90" t="s">
        <v>32</v>
      </c>
      <c r="G289" s="90" t="s">
        <v>15</v>
      </c>
      <c r="H289" s="90" t="s">
        <v>120</v>
      </c>
      <c r="I289" s="135" t="s">
        <v>435</v>
      </c>
      <c r="J289" s="151">
        <v>45447</v>
      </c>
      <c r="K289" s="135" t="s">
        <v>117</v>
      </c>
      <c r="L289" s="135">
        <v>241000398</v>
      </c>
      <c r="M289" s="151">
        <v>45448</v>
      </c>
      <c r="N289" s="152">
        <v>45447.847222222219</v>
      </c>
      <c r="O289" s="152">
        <v>45447.8125</v>
      </c>
      <c r="P289" s="152">
        <v>45447.857638888891</v>
      </c>
      <c r="Q289" s="152">
        <v>45447.993055555555</v>
      </c>
      <c r="R289" s="114">
        <v>45447.847222222219</v>
      </c>
      <c r="S289" s="114" t="s">
        <v>118</v>
      </c>
      <c r="T289" s="114">
        <v>45448.020833333336</v>
      </c>
      <c r="U289" s="114">
        <v>45448.225694444445</v>
      </c>
      <c r="V289" s="95">
        <f t="shared" si="149"/>
        <v>0.18055555555474712</v>
      </c>
      <c r="W289" s="95">
        <v>0.20833333333333334</v>
      </c>
      <c r="X289" s="95" t="str">
        <f t="shared" si="150"/>
        <v>00:00</v>
      </c>
      <c r="Y289" s="96">
        <v>0</v>
      </c>
      <c r="Z289" s="96">
        <v>59</v>
      </c>
      <c r="AA289" s="96">
        <f t="shared" si="158"/>
        <v>59</v>
      </c>
      <c r="AB289" s="97">
        <f t="shared" si="159"/>
        <v>0</v>
      </c>
      <c r="AC289" s="97">
        <f t="shared" si="160"/>
        <v>4027.31</v>
      </c>
      <c r="AD289" s="98">
        <v>4027.31</v>
      </c>
      <c r="AE289" s="98">
        <v>4095.1</v>
      </c>
      <c r="AF289" s="98">
        <v>4100.2</v>
      </c>
      <c r="AG289" s="98">
        <f t="shared" si="161"/>
        <v>72.889999999999873</v>
      </c>
      <c r="AH289" s="99">
        <v>1398.7</v>
      </c>
      <c r="AI289" s="100">
        <f t="shared" si="162"/>
        <v>5734949.7400000002</v>
      </c>
      <c r="AJ289" s="100">
        <f t="shared" si="163"/>
        <v>0</v>
      </c>
      <c r="AK289" s="100">
        <v>0</v>
      </c>
      <c r="AL289" s="100">
        <v>24290</v>
      </c>
      <c r="AM289" s="100">
        <v>0</v>
      </c>
      <c r="AN289" s="100">
        <v>0</v>
      </c>
      <c r="AO289" s="100">
        <v>0</v>
      </c>
      <c r="AP289" s="100">
        <f t="shared" si="136"/>
        <v>287962</v>
      </c>
      <c r="AQ289" s="101">
        <f t="shared" si="148"/>
        <v>6047202</v>
      </c>
      <c r="AR289" s="101">
        <v>0</v>
      </c>
      <c r="AS289" s="101">
        <v>0</v>
      </c>
      <c r="AT289" s="102" t="s">
        <v>33</v>
      </c>
      <c r="AU289" s="157">
        <v>3</v>
      </c>
      <c r="AV289" s="100">
        <f>6.87-3.87</f>
        <v>3</v>
      </c>
      <c r="AW289" s="105"/>
      <c r="AX289" s="106">
        <f t="shared" si="151"/>
        <v>1.7777181600897487</v>
      </c>
      <c r="AY289" s="101">
        <f t="shared" si="152"/>
        <v>101952</v>
      </c>
      <c r="AZ289" s="107"/>
      <c r="BA289" s="94">
        <v>45447.847222222219</v>
      </c>
      <c r="BB289" s="94">
        <v>45447.857638888891</v>
      </c>
      <c r="BC289" s="94">
        <v>45447.857638888891</v>
      </c>
      <c r="BD289" s="94">
        <v>45448.063888888886</v>
      </c>
      <c r="BE289" s="95">
        <f t="shared" si="153"/>
        <v>0.21666666666715173</v>
      </c>
      <c r="BF289" s="95">
        <v>0</v>
      </c>
      <c r="BG289" s="95">
        <v>8.0555555555555561E-2</v>
      </c>
      <c r="BH289" s="95">
        <f t="shared" si="154"/>
        <v>1.0416666671517305E-2</v>
      </c>
      <c r="BI289" s="95">
        <f t="shared" si="154"/>
        <v>0</v>
      </c>
      <c r="BJ289" s="95">
        <f t="shared" si="154"/>
        <v>0.20624999999563443</v>
      </c>
      <c r="BK289" s="95">
        <f t="shared" si="155"/>
        <v>0.20624999999563443</v>
      </c>
      <c r="BL289" s="95">
        <f t="shared" si="156"/>
        <v>0.12569444444007888</v>
      </c>
      <c r="BM289" s="95">
        <f t="shared" si="157"/>
        <v>8.3333333338183879E-3</v>
      </c>
      <c r="BN289" s="110"/>
    </row>
    <row r="290" spans="1:66" s="8" customFormat="1" ht="12.75" customHeight="1" x14ac:dyDescent="0.25">
      <c r="A290" s="115">
        <v>252</v>
      </c>
      <c r="B290" s="115">
        <v>17</v>
      </c>
      <c r="C290" s="90">
        <v>14</v>
      </c>
      <c r="D290" s="90" t="s">
        <v>148</v>
      </c>
      <c r="E290" s="91" t="s">
        <v>381</v>
      </c>
      <c r="F290" s="115" t="s">
        <v>16</v>
      </c>
      <c r="G290" s="115" t="s">
        <v>17</v>
      </c>
      <c r="H290" s="115" t="s">
        <v>150</v>
      </c>
      <c r="I290" s="116" t="s">
        <v>436</v>
      </c>
      <c r="J290" s="117">
        <v>45442</v>
      </c>
      <c r="K290" s="116" t="s">
        <v>122</v>
      </c>
      <c r="L290" s="116">
        <v>461000274</v>
      </c>
      <c r="M290" s="117">
        <v>45448</v>
      </c>
      <c r="N290" s="118">
        <v>45447.96875</v>
      </c>
      <c r="O290" s="118">
        <v>45447.96875</v>
      </c>
      <c r="P290" s="118">
        <v>45447.972222222219</v>
      </c>
      <c r="Q290" s="118">
        <v>45448.177083333336</v>
      </c>
      <c r="R290" s="118" t="s">
        <v>118</v>
      </c>
      <c r="S290" s="118">
        <v>45448.253472222219</v>
      </c>
      <c r="T290" s="118">
        <v>45448.260416666664</v>
      </c>
      <c r="U290" s="118">
        <v>45448.341666666667</v>
      </c>
      <c r="V290" s="119">
        <f t="shared" si="149"/>
        <v>0.20833333333575865</v>
      </c>
      <c r="W290" s="119">
        <v>0.20833333333333334</v>
      </c>
      <c r="X290" s="119">
        <f t="shared" si="150"/>
        <v>2.4253099528692701E-12</v>
      </c>
      <c r="Y290" s="96">
        <v>0</v>
      </c>
      <c r="Z290" s="96">
        <v>57</v>
      </c>
      <c r="AA290" s="96">
        <f t="shared" si="158"/>
        <v>57</v>
      </c>
      <c r="AB290" s="97">
        <f t="shared" si="159"/>
        <v>0</v>
      </c>
      <c r="AC290" s="97">
        <f t="shared" si="160"/>
        <v>3868.89</v>
      </c>
      <c r="AD290" s="98">
        <f>3913.97-45.08</f>
        <v>3868.89</v>
      </c>
      <c r="AE290" s="98">
        <f>4019.6-70</f>
        <v>3949.6</v>
      </c>
      <c r="AF290" s="98">
        <f>4020.6-70.53</f>
        <v>3950.0699999999997</v>
      </c>
      <c r="AG290" s="98">
        <f t="shared" si="161"/>
        <v>81.179999999999836</v>
      </c>
      <c r="AH290" s="99">
        <v>672.5</v>
      </c>
      <c r="AI290" s="100">
        <f t="shared" si="162"/>
        <v>2656422.0749999997</v>
      </c>
      <c r="AJ290" s="100">
        <f t="shared" si="163"/>
        <v>0</v>
      </c>
      <c r="AK290" s="100">
        <v>0</v>
      </c>
      <c r="AL290" s="100">
        <v>0</v>
      </c>
      <c r="AM290" s="100">
        <v>0</v>
      </c>
      <c r="AN290" s="100">
        <v>0</v>
      </c>
      <c r="AO290" s="100">
        <v>0</v>
      </c>
      <c r="AP290" s="100">
        <f t="shared" si="136"/>
        <v>132822</v>
      </c>
      <c r="AQ290" s="101">
        <f t="shared" si="148"/>
        <v>2789245</v>
      </c>
      <c r="AR290" s="101">
        <v>0</v>
      </c>
      <c r="AS290" s="101">
        <v>0</v>
      </c>
      <c r="AT290" s="102" t="s">
        <v>33</v>
      </c>
      <c r="AU290" s="158" t="s">
        <v>118</v>
      </c>
      <c r="AV290" s="121">
        <v>0</v>
      </c>
      <c r="AW290" s="139"/>
      <c r="AX290" s="140">
        <f>IFERROR(((AG290+AG291)/(AF290+AF291))*100, "")</f>
        <v>2.6520917276028366</v>
      </c>
      <c r="AY290" s="141">
        <f>ROUNDUP((AG290+AG291)*AH290,0)</f>
        <v>71709</v>
      </c>
      <c r="AZ290" s="142"/>
      <c r="BA290" s="118">
        <v>45447.96875</v>
      </c>
      <c r="BB290" s="118">
        <v>45447.972222222219</v>
      </c>
      <c r="BC290" s="118">
        <v>45448.077777777777</v>
      </c>
      <c r="BD290" s="118">
        <v>45448.25277777778</v>
      </c>
      <c r="BE290" s="119">
        <f t="shared" si="153"/>
        <v>0.28402777777955635</v>
      </c>
      <c r="BF290" s="119">
        <v>5.2083333333333336E-2</v>
      </c>
      <c r="BG290" s="119">
        <v>0.1</v>
      </c>
      <c r="BH290" s="119">
        <f t="shared" si="154"/>
        <v>3.4722222189884633E-3</v>
      </c>
      <c r="BI290" s="119">
        <f t="shared" si="154"/>
        <v>0.1055555555576575</v>
      </c>
      <c r="BJ290" s="119">
        <f t="shared" si="154"/>
        <v>0.17500000000291038</v>
      </c>
      <c r="BK290" s="119">
        <f t="shared" si="155"/>
        <v>0.28055555556056788</v>
      </c>
      <c r="BL290" s="119">
        <f t="shared" si="156"/>
        <v>0.12847222222723453</v>
      </c>
      <c r="BM290" s="119">
        <f t="shared" si="157"/>
        <v>7.5694444446223003E-2</v>
      </c>
      <c r="BN290" s="110" t="s">
        <v>437</v>
      </c>
    </row>
    <row r="291" spans="1:66" s="8" customFormat="1" ht="12.75" customHeight="1" x14ac:dyDescent="0.25">
      <c r="A291" s="122"/>
      <c r="B291" s="122"/>
      <c r="C291" s="90">
        <v>1</v>
      </c>
      <c r="D291" s="90" t="s">
        <v>148</v>
      </c>
      <c r="E291" s="91" t="s">
        <v>438</v>
      </c>
      <c r="F291" s="122"/>
      <c r="G291" s="122"/>
      <c r="H291" s="122"/>
      <c r="I291" s="123"/>
      <c r="J291" s="124"/>
      <c r="K291" s="123"/>
      <c r="L291" s="123"/>
      <c r="M291" s="124"/>
      <c r="N291" s="125"/>
      <c r="O291" s="125"/>
      <c r="P291" s="125"/>
      <c r="Q291" s="125"/>
      <c r="R291" s="125"/>
      <c r="S291" s="125"/>
      <c r="T291" s="125"/>
      <c r="U291" s="125"/>
      <c r="V291" s="126"/>
      <c r="W291" s="126"/>
      <c r="X291" s="126"/>
      <c r="Y291" s="96">
        <v>0</v>
      </c>
      <c r="Z291" s="96">
        <v>1</v>
      </c>
      <c r="AA291" s="96">
        <f t="shared" si="158"/>
        <v>1</v>
      </c>
      <c r="AB291" s="97">
        <f t="shared" si="159"/>
        <v>0</v>
      </c>
      <c r="AC291" s="97">
        <f t="shared" si="160"/>
        <v>45.079999999999899</v>
      </c>
      <c r="AD291" s="98">
        <v>45.079999999999899</v>
      </c>
      <c r="AE291" s="98">
        <v>70</v>
      </c>
      <c r="AF291" s="98">
        <v>70.529999999999703</v>
      </c>
      <c r="AG291" s="98">
        <f t="shared" si="161"/>
        <v>25.449999999999804</v>
      </c>
      <c r="AH291" s="99">
        <v>672.5</v>
      </c>
      <c r="AI291" s="100">
        <f t="shared" si="162"/>
        <v>47431.424999999799</v>
      </c>
      <c r="AJ291" s="100">
        <f t="shared" si="163"/>
        <v>0</v>
      </c>
      <c r="AK291" s="100">
        <v>0</v>
      </c>
      <c r="AL291" s="100">
        <v>0</v>
      </c>
      <c r="AM291" s="100">
        <v>0</v>
      </c>
      <c r="AN291" s="100">
        <v>0</v>
      </c>
      <c r="AO291" s="100">
        <v>0</v>
      </c>
      <c r="AP291" s="100">
        <f>ROUNDUP(SUM(AI291:AO291)*5%,0)-1</f>
        <v>2371</v>
      </c>
      <c r="AQ291" s="101">
        <f>ROUNDUP(SUM(AI291:AP291),0)-1</f>
        <v>49802</v>
      </c>
      <c r="AR291" s="101">
        <v>0</v>
      </c>
      <c r="AS291" s="101">
        <v>0</v>
      </c>
      <c r="AT291" s="102" t="s">
        <v>33</v>
      </c>
      <c r="AU291" s="159"/>
      <c r="AV291" s="128"/>
      <c r="AW291" s="143"/>
      <c r="AX291" s="144"/>
      <c r="AY291" s="145"/>
      <c r="AZ291" s="146"/>
      <c r="BA291" s="125"/>
      <c r="BB291" s="125"/>
      <c r="BC291" s="125"/>
      <c r="BD291" s="125"/>
      <c r="BE291" s="126"/>
      <c r="BF291" s="126"/>
      <c r="BG291" s="126"/>
      <c r="BH291" s="126"/>
      <c r="BI291" s="126"/>
      <c r="BJ291" s="126"/>
      <c r="BK291" s="126"/>
      <c r="BL291" s="126"/>
      <c r="BM291" s="126"/>
      <c r="BN291" s="110" t="s">
        <v>439</v>
      </c>
    </row>
    <row r="292" spans="1:66" s="8" customFormat="1" ht="12.75" customHeight="1" x14ac:dyDescent="0.25">
      <c r="A292" s="150">
        <v>253</v>
      </c>
      <c r="B292" s="150">
        <v>18</v>
      </c>
      <c r="C292" s="90">
        <v>7</v>
      </c>
      <c r="D292" s="90" t="s">
        <v>148</v>
      </c>
      <c r="E292" s="91" t="s">
        <v>425</v>
      </c>
      <c r="F292" s="90" t="s">
        <v>19</v>
      </c>
      <c r="G292" s="90" t="s">
        <v>17</v>
      </c>
      <c r="H292" s="90" t="s">
        <v>150</v>
      </c>
      <c r="I292" s="135" t="s">
        <v>440</v>
      </c>
      <c r="J292" s="151">
        <v>45447</v>
      </c>
      <c r="K292" s="135" t="s">
        <v>117</v>
      </c>
      <c r="L292" s="135">
        <v>461000275</v>
      </c>
      <c r="M292" s="151">
        <v>45448</v>
      </c>
      <c r="N292" s="152">
        <v>45448.274305555555</v>
      </c>
      <c r="O292" s="152">
        <v>45448.260416666664</v>
      </c>
      <c r="P292" s="152">
        <v>45448.277777777781</v>
      </c>
      <c r="Q292" s="152">
        <v>45448.447916666664</v>
      </c>
      <c r="R292" s="114" t="s">
        <v>118</v>
      </c>
      <c r="S292" s="114" t="s">
        <v>118</v>
      </c>
      <c r="T292" s="114">
        <v>45448.458333333336</v>
      </c>
      <c r="U292" s="114">
        <v>45448.600694444445</v>
      </c>
      <c r="V292" s="95">
        <f t="shared" ref="V292:V318" si="164">+Q292-O292</f>
        <v>0.1875</v>
      </c>
      <c r="W292" s="95">
        <v>0.20833333333333334</v>
      </c>
      <c r="X292" s="95" t="str">
        <f t="shared" ref="X292:X318" si="165">IF(VALUE(V292)&lt;=VALUE("05:00"),"00:00",VALUE(V292)-VALUE("05:00"))</f>
        <v>00:00</v>
      </c>
      <c r="Y292" s="96">
        <v>0</v>
      </c>
      <c r="Z292" s="96">
        <v>59</v>
      </c>
      <c r="AA292" s="96">
        <f t="shared" si="158"/>
        <v>59</v>
      </c>
      <c r="AB292" s="97">
        <f t="shared" si="159"/>
        <v>0</v>
      </c>
      <c r="AC292" s="97">
        <f t="shared" si="160"/>
        <v>3964.46</v>
      </c>
      <c r="AD292" s="98">
        <v>3964.46</v>
      </c>
      <c r="AE292" s="98">
        <v>4038.5</v>
      </c>
      <c r="AF292" s="98">
        <v>4046.4</v>
      </c>
      <c r="AG292" s="98">
        <f t="shared" si="161"/>
        <v>81.940000000000055</v>
      </c>
      <c r="AH292" s="99">
        <v>672.5</v>
      </c>
      <c r="AI292" s="100">
        <f t="shared" si="162"/>
        <v>2721204</v>
      </c>
      <c r="AJ292" s="100">
        <f t="shared" si="163"/>
        <v>0</v>
      </c>
      <c r="AK292" s="100">
        <v>0</v>
      </c>
      <c r="AL292" s="100">
        <v>24140</v>
      </c>
      <c r="AM292" s="100">
        <v>0</v>
      </c>
      <c r="AN292" s="100">
        <v>0</v>
      </c>
      <c r="AO292" s="100">
        <v>0</v>
      </c>
      <c r="AP292" s="100">
        <f t="shared" ref="AP292:AP332" si="166">ROUNDUP(SUM(AI292:AO292)*5%,0)</f>
        <v>137268</v>
      </c>
      <c r="AQ292" s="101">
        <f t="shared" ref="AQ292:AQ321" si="167">ROUNDUP(SUM(AI292:AP292),0)</f>
        <v>2882612</v>
      </c>
      <c r="AR292" s="101">
        <v>0</v>
      </c>
      <c r="AS292" s="101">
        <v>0</v>
      </c>
      <c r="AT292" s="102" t="s">
        <v>33</v>
      </c>
      <c r="AU292" s="157">
        <v>3</v>
      </c>
      <c r="AV292" s="100">
        <f>9.05-7.05</f>
        <v>2.0000000000000009</v>
      </c>
      <c r="AW292" s="105"/>
      <c r="AX292" s="106">
        <f t="shared" ref="AX292:AX318" si="168">IFERROR((AG292/AF292)*100, "")</f>
        <v>2.0250098853301712</v>
      </c>
      <c r="AY292" s="101">
        <f t="shared" ref="AY292:AY318" si="169">ROUNDUP(AG292*AH292,0)</f>
        <v>55105</v>
      </c>
      <c r="AZ292" s="107"/>
      <c r="BA292" s="94">
        <v>45448.274305555555</v>
      </c>
      <c r="BB292" s="94">
        <v>45448.277777777781</v>
      </c>
      <c r="BC292" s="94">
        <v>45448.277777777781</v>
      </c>
      <c r="BD292" s="94">
        <v>45448.411805555559</v>
      </c>
      <c r="BE292" s="95">
        <f t="shared" ref="BE292:BE318" si="170">+BD292-BA292</f>
        <v>0.13750000000436557</v>
      </c>
      <c r="BF292" s="95">
        <v>6.9444444444444441E-3</v>
      </c>
      <c r="BG292" s="95">
        <v>0</v>
      </c>
      <c r="BH292" s="95">
        <f t="shared" ref="BH292:BJ318" si="171">+BB292-BA292</f>
        <v>3.4722222262644209E-3</v>
      </c>
      <c r="BI292" s="95">
        <f t="shared" si="171"/>
        <v>0</v>
      </c>
      <c r="BJ292" s="95">
        <f t="shared" si="171"/>
        <v>0.13402777777810115</v>
      </c>
      <c r="BK292" s="95">
        <f t="shared" ref="BK292:BK318" si="172">+BI292+BJ292</f>
        <v>0.13402777777810115</v>
      </c>
      <c r="BL292" s="95">
        <f t="shared" ref="BL292:BL318" si="173">+BE292-BH292-BF292-BG292</f>
        <v>0.12708333333365671</v>
      </c>
      <c r="BM292" s="95" t="str">
        <f t="shared" ref="BM292:BM318" si="174">IF(VALUE(BE292)&lt;=VALUE("05:00"),"00:00",VALUE(BE292)-VALUE("05:00"))</f>
        <v>00:00</v>
      </c>
      <c r="BN292" s="110"/>
    </row>
    <row r="293" spans="1:66" s="8" customFormat="1" ht="12.75" customHeight="1" x14ac:dyDescent="0.25">
      <c r="A293" s="150">
        <v>254</v>
      </c>
      <c r="B293" s="150">
        <v>19</v>
      </c>
      <c r="C293" s="90">
        <v>8</v>
      </c>
      <c r="D293" s="90" t="s">
        <v>148</v>
      </c>
      <c r="E293" s="91" t="s">
        <v>425</v>
      </c>
      <c r="F293" s="90" t="s">
        <v>19</v>
      </c>
      <c r="G293" s="90" t="s">
        <v>17</v>
      </c>
      <c r="H293" s="90" t="s">
        <v>150</v>
      </c>
      <c r="I293" s="135" t="s">
        <v>441</v>
      </c>
      <c r="J293" s="151">
        <v>45447</v>
      </c>
      <c r="K293" s="135" t="s">
        <v>122</v>
      </c>
      <c r="L293" s="135">
        <v>441000005</v>
      </c>
      <c r="M293" s="151">
        <v>45448</v>
      </c>
      <c r="N293" s="152">
        <v>45448.479166666664</v>
      </c>
      <c r="O293" s="152">
        <v>45448.479166666664</v>
      </c>
      <c r="P293" s="152">
        <v>45448.489583333336</v>
      </c>
      <c r="Q293" s="152">
        <v>45448.666666666664</v>
      </c>
      <c r="R293" s="114" t="s">
        <v>118</v>
      </c>
      <c r="S293" s="114" t="s">
        <v>118</v>
      </c>
      <c r="T293" s="114">
        <v>45448.6875</v>
      </c>
      <c r="U293" s="114">
        <v>45448.802083333336</v>
      </c>
      <c r="V293" s="95">
        <f t="shared" si="164"/>
        <v>0.1875</v>
      </c>
      <c r="W293" s="95">
        <v>0.20833333333333334</v>
      </c>
      <c r="X293" s="95" t="str">
        <f t="shared" si="165"/>
        <v>00:00</v>
      </c>
      <c r="Y293" s="96">
        <v>0</v>
      </c>
      <c r="Z293" s="96">
        <v>58</v>
      </c>
      <c r="AA293" s="96">
        <f t="shared" si="158"/>
        <v>58</v>
      </c>
      <c r="AB293" s="97">
        <f t="shared" si="159"/>
        <v>0</v>
      </c>
      <c r="AC293" s="97">
        <f t="shared" si="160"/>
        <v>4007.1300000000006</v>
      </c>
      <c r="AD293" s="98">
        <v>4007.13</v>
      </c>
      <c r="AE293" s="98">
        <v>4047.8</v>
      </c>
      <c r="AF293" s="98">
        <v>4057</v>
      </c>
      <c r="AG293" s="98">
        <f t="shared" si="161"/>
        <v>49.869999999999891</v>
      </c>
      <c r="AH293" s="99">
        <v>672.5</v>
      </c>
      <c r="AI293" s="100">
        <f t="shared" si="162"/>
        <v>2728332.5</v>
      </c>
      <c r="AJ293" s="100">
        <f t="shared" si="163"/>
        <v>0</v>
      </c>
      <c r="AK293" s="100">
        <v>0</v>
      </c>
      <c r="AL293" s="100">
        <v>24290</v>
      </c>
      <c r="AM293" s="100">
        <v>0</v>
      </c>
      <c r="AN293" s="100">
        <v>0</v>
      </c>
      <c r="AO293" s="100">
        <v>0</v>
      </c>
      <c r="AP293" s="100">
        <f t="shared" si="166"/>
        <v>137632</v>
      </c>
      <c r="AQ293" s="101">
        <f t="shared" si="167"/>
        <v>2890255</v>
      </c>
      <c r="AR293" s="101">
        <v>0</v>
      </c>
      <c r="AS293" s="101">
        <v>0</v>
      </c>
      <c r="AT293" s="102" t="s">
        <v>33</v>
      </c>
      <c r="AU293" s="157">
        <v>1</v>
      </c>
      <c r="AV293" s="100">
        <f>11.2-9.2</f>
        <v>2</v>
      </c>
      <c r="AW293" s="105"/>
      <c r="AX293" s="106">
        <f t="shared" si="168"/>
        <v>1.2292334237120999</v>
      </c>
      <c r="AY293" s="101">
        <f t="shared" si="169"/>
        <v>33538</v>
      </c>
      <c r="AZ293" s="107"/>
      <c r="BA293" s="94">
        <v>45448.479166666664</v>
      </c>
      <c r="BB293" s="94">
        <v>45448.489583333336</v>
      </c>
      <c r="BC293" s="94">
        <v>45448.489583333336</v>
      </c>
      <c r="BD293" s="94">
        <v>45448.658333333333</v>
      </c>
      <c r="BE293" s="95">
        <f t="shared" si="170"/>
        <v>0.17916666666860692</v>
      </c>
      <c r="BF293" s="95">
        <v>3.5416666666666666E-2</v>
      </c>
      <c r="BG293" s="95">
        <v>7.6388888888888886E-3</v>
      </c>
      <c r="BH293" s="95">
        <f t="shared" si="171"/>
        <v>1.0416666671517305E-2</v>
      </c>
      <c r="BI293" s="95">
        <f t="shared" si="171"/>
        <v>0</v>
      </c>
      <c r="BJ293" s="95">
        <f t="shared" si="171"/>
        <v>0.16874999999708962</v>
      </c>
      <c r="BK293" s="95">
        <f t="shared" si="172"/>
        <v>0.16874999999708962</v>
      </c>
      <c r="BL293" s="95">
        <f t="shared" si="173"/>
        <v>0.12569444444153408</v>
      </c>
      <c r="BM293" s="95" t="str">
        <f t="shared" si="174"/>
        <v>00:00</v>
      </c>
      <c r="BN293" s="110"/>
    </row>
    <row r="294" spans="1:66" s="8" customFormat="1" ht="12.75" customHeight="1" x14ac:dyDescent="0.25">
      <c r="A294" s="150">
        <v>255</v>
      </c>
      <c r="B294" s="150">
        <v>20</v>
      </c>
      <c r="C294" s="90">
        <v>6</v>
      </c>
      <c r="D294" s="90" t="s">
        <v>113</v>
      </c>
      <c r="E294" s="91" t="s">
        <v>313</v>
      </c>
      <c r="F294" s="90" t="s">
        <v>11</v>
      </c>
      <c r="G294" s="90" t="s">
        <v>12</v>
      </c>
      <c r="H294" s="90" t="s">
        <v>115</v>
      </c>
      <c r="I294" s="135" t="s">
        <v>442</v>
      </c>
      <c r="J294" s="151">
        <v>45448</v>
      </c>
      <c r="K294" s="135" t="s">
        <v>117</v>
      </c>
      <c r="L294" s="135">
        <v>282000963</v>
      </c>
      <c r="M294" s="151">
        <v>45449</v>
      </c>
      <c r="N294" s="152">
        <v>45448.708333333336</v>
      </c>
      <c r="O294" s="152">
        <v>45448.708333333336</v>
      </c>
      <c r="P294" s="152">
        <v>45448.71875</v>
      </c>
      <c r="Q294" s="152">
        <v>45448.916666666664</v>
      </c>
      <c r="R294" s="114" t="s">
        <v>118</v>
      </c>
      <c r="S294" s="114">
        <v>45449.072916666664</v>
      </c>
      <c r="T294" s="114">
        <v>45449.083333333336</v>
      </c>
      <c r="U294" s="114">
        <v>45449.15625</v>
      </c>
      <c r="V294" s="95">
        <f t="shared" si="164"/>
        <v>0.20833333332848269</v>
      </c>
      <c r="W294" s="95">
        <v>0.20833333333333334</v>
      </c>
      <c r="X294" s="95" t="str">
        <f t="shared" si="165"/>
        <v>00:00</v>
      </c>
      <c r="Y294" s="96">
        <v>0</v>
      </c>
      <c r="Z294" s="96">
        <v>59</v>
      </c>
      <c r="AA294" s="96">
        <f t="shared" si="158"/>
        <v>59</v>
      </c>
      <c r="AB294" s="97">
        <f t="shared" si="159"/>
        <v>0</v>
      </c>
      <c r="AC294" s="97">
        <f t="shared" si="160"/>
        <v>3994.95</v>
      </c>
      <c r="AD294" s="98">
        <v>3994.95</v>
      </c>
      <c r="AE294" s="98">
        <v>4090.6</v>
      </c>
      <c r="AF294" s="98">
        <v>4091.6</v>
      </c>
      <c r="AG294" s="98">
        <f t="shared" si="161"/>
        <v>96.650000000000091</v>
      </c>
      <c r="AH294" s="99">
        <v>1586.7</v>
      </c>
      <c r="AI294" s="100">
        <f t="shared" si="162"/>
        <v>6492141.7199999997</v>
      </c>
      <c r="AJ294" s="100">
        <f t="shared" si="163"/>
        <v>0</v>
      </c>
      <c r="AK294" s="100">
        <v>0</v>
      </c>
      <c r="AL294" s="100">
        <v>24290</v>
      </c>
      <c r="AM294" s="100">
        <v>0</v>
      </c>
      <c r="AN294" s="100">
        <v>0</v>
      </c>
      <c r="AO294" s="100">
        <f>IFERROR(AF294*20+(((AJ294/AH294)/2)*20),0)</f>
        <v>81832</v>
      </c>
      <c r="AP294" s="100">
        <f t="shared" si="166"/>
        <v>329914</v>
      </c>
      <c r="AQ294" s="101">
        <f t="shared" si="167"/>
        <v>6928178</v>
      </c>
      <c r="AR294" s="101">
        <v>0</v>
      </c>
      <c r="AS294" s="101">
        <v>0</v>
      </c>
      <c r="AT294" s="102" t="s">
        <v>33</v>
      </c>
      <c r="AU294" s="157">
        <v>1</v>
      </c>
      <c r="AV294" s="100">
        <f>1.9-0.9</f>
        <v>0.99999999999999989</v>
      </c>
      <c r="AW294" s="105"/>
      <c r="AX294" s="106">
        <f t="shared" si="168"/>
        <v>2.3621566135497138</v>
      </c>
      <c r="AY294" s="101">
        <f t="shared" si="169"/>
        <v>153355</v>
      </c>
      <c r="AZ294" s="107"/>
      <c r="BA294" s="94">
        <v>45448.708333333336</v>
      </c>
      <c r="BB294" s="94">
        <v>45448.71875</v>
      </c>
      <c r="BC294" s="94">
        <v>45448.71875</v>
      </c>
      <c r="BD294" s="94">
        <v>45449.068055555559</v>
      </c>
      <c r="BE294" s="95">
        <f t="shared" si="170"/>
        <v>0.35972222222335404</v>
      </c>
      <c r="BF294" s="95">
        <v>0.16805555555555557</v>
      </c>
      <c r="BG294" s="95">
        <v>1.3888888888888889E-3</v>
      </c>
      <c r="BH294" s="95">
        <f t="shared" si="171"/>
        <v>1.0416666664241347E-2</v>
      </c>
      <c r="BI294" s="95">
        <f t="shared" si="171"/>
        <v>0</v>
      </c>
      <c r="BJ294" s="95">
        <f t="shared" si="171"/>
        <v>0.34930555555911269</v>
      </c>
      <c r="BK294" s="95">
        <f t="shared" si="172"/>
        <v>0.34930555555911269</v>
      </c>
      <c r="BL294" s="95">
        <f t="shared" si="173"/>
        <v>0.17986111111466824</v>
      </c>
      <c r="BM294" s="95">
        <f t="shared" si="174"/>
        <v>0.1513888888900207</v>
      </c>
      <c r="BN294" s="110"/>
    </row>
    <row r="295" spans="1:66" s="8" customFormat="1" ht="12.75" customHeight="1" x14ac:dyDescent="0.25">
      <c r="A295" s="150">
        <v>256</v>
      </c>
      <c r="B295" s="150">
        <v>21</v>
      </c>
      <c r="C295" s="90">
        <v>9</v>
      </c>
      <c r="D295" s="90" t="s">
        <v>148</v>
      </c>
      <c r="E295" s="91" t="s">
        <v>425</v>
      </c>
      <c r="F295" s="90" t="s">
        <v>19</v>
      </c>
      <c r="G295" s="90" t="s">
        <v>17</v>
      </c>
      <c r="H295" s="90" t="s">
        <v>150</v>
      </c>
      <c r="I295" s="135" t="s">
        <v>443</v>
      </c>
      <c r="J295" s="151">
        <v>45447</v>
      </c>
      <c r="K295" s="135" t="s">
        <v>122</v>
      </c>
      <c r="L295" s="135">
        <v>461000276</v>
      </c>
      <c r="M295" s="151">
        <v>45449</v>
      </c>
      <c r="N295" s="152">
        <v>45449.010416666664</v>
      </c>
      <c r="O295" s="152">
        <v>45449.010416666664</v>
      </c>
      <c r="P295" s="152">
        <v>45449.013888888891</v>
      </c>
      <c r="Q295" s="152">
        <v>45449.21875</v>
      </c>
      <c r="R295" s="114" t="s">
        <v>118</v>
      </c>
      <c r="S295" s="114" t="s">
        <v>118</v>
      </c>
      <c r="T295" s="114">
        <v>45449.34375</v>
      </c>
      <c r="U295" s="114">
        <v>45449.4375</v>
      </c>
      <c r="V295" s="95">
        <f t="shared" si="164"/>
        <v>0.20833333333575865</v>
      </c>
      <c r="W295" s="95">
        <v>0.20833333333333334</v>
      </c>
      <c r="X295" s="95">
        <f t="shared" si="165"/>
        <v>2.4253099528692701E-12</v>
      </c>
      <c r="Y295" s="96">
        <v>0</v>
      </c>
      <c r="Z295" s="96">
        <v>59</v>
      </c>
      <c r="AA295" s="96">
        <f t="shared" si="158"/>
        <v>59</v>
      </c>
      <c r="AB295" s="97">
        <f t="shared" si="159"/>
        <v>0</v>
      </c>
      <c r="AC295" s="97">
        <f t="shared" si="160"/>
        <v>4023.9100000000003</v>
      </c>
      <c r="AD295" s="98">
        <v>4023.91</v>
      </c>
      <c r="AE295" s="98">
        <v>4095.1</v>
      </c>
      <c r="AF295" s="98">
        <v>4099</v>
      </c>
      <c r="AG295" s="98">
        <f t="shared" si="161"/>
        <v>75.090000000000146</v>
      </c>
      <c r="AH295" s="99">
        <v>672.5</v>
      </c>
      <c r="AI295" s="100">
        <f t="shared" si="162"/>
        <v>2756577.5</v>
      </c>
      <c r="AJ295" s="100">
        <f t="shared" si="163"/>
        <v>0</v>
      </c>
      <c r="AK295" s="100">
        <v>0</v>
      </c>
      <c r="AL295" s="100">
        <v>24290</v>
      </c>
      <c r="AM295" s="100">
        <v>0</v>
      </c>
      <c r="AN295" s="100">
        <v>0</v>
      </c>
      <c r="AO295" s="100">
        <v>0</v>
      </c>
      <c r="AP295" s="100">
        <f t="shared" si="166"/>
        <v>139044</v>
      </c>
      <c r="AQ295" s="101">
        <f t="shared" si="167"/>
        <v>2919912</v>
      </c>
      <c r="AR295" s="101">
        <v>0</v>
      </c>
      <c r="AS295" s="101">
        <v>0</v>
      </c>
      <c r="AT295" s="102" t="s">
        <v>33</v>
      </c>
      <c r="AU295" s="157">
        <v>1</v>
      </c>
      <c r="AV295" s="100">
        <f>4.8-3.8</f>
        <v>1</v>
      </c>
      <c r="AW295" s="105"/>
      <c r="AX295" s="106">
        <f t="shared" si="168"/>
        <v>1.8319102220053709</v>
      </c>
      <c r="AY295" s="101">
        <f t="shared" si="169"/>
        <v>50499</v>
      </c>
      <c r="AZ295" s="107"/>
      <c r="BA295" s="94">
        <v>45449.010416666664</v>
      </c>
      <c r="BB295" s="94">
        <v>45449.013888888891</v>
      </c>
      <c r="BC295" s="94">
        <v>45449.083333333336</v>
      </c>
      <c r="BD295" s="94">
        <v>45449.230555555558</v>
      </c>
      <c r="BE295" s="95">
        <f t="shared" si="170"/>
        <v>0.22013888889341615</v>
      </c>
      <c r="BF295" s="95">
        <v>1.5277777777777777E-2</v>
      </c>
      <c r="BG295" s="95">
        <v>6.9444444444444448E-2</v>
      </c>
      <c r="BH295" s="95">
        <f t="shared" si="171"/>
        <v>3.4722222262644209E-3</v>
      </c>
      <c r="BI295" s="95">
        <f t="shared" si="171"/>
        <v>6.9444444445252884E-2</v>
      </c>
      <c r="BJ295" s="95">
        <f t="shared" si="171"/>
        <v>0.14722222222189885</v>
      </c>
      <c r="BK295" s="95">
        <f t="shared" si="172"/>
        <v>0.21666666666715173</v>
      </c>
      <c r="BL295" s="95">
        <f t="shared" si="173"/>
        <v>0.1319444444449295</v>
      </c>
      <c r="BM295" s="95">
        <f t="shared" si="174"/>
        <v>1.1805555560082809E-2</v>
      </c>
      <c r="BN295" s="110"/>
    </row>
    <row r="296" spans="1:66" s="8" customFormat="1" ht="12.75" customHeight="1" x14ac:dyDescent="0.25">
      <c r="A296" s="150">
        <v>257</v>
      </c>
      <c r="B296" s="150">
        <v>22</v>
      </c>
      <c r="C296" s="90">
        <v>14</v>
      </c>
      <c r="D296" s="90" t="s">
        <v>113</v>
      </c>
      <c r="E296" s="91" t="s">
        <v>296</v>
      </c>
      <c r="F296" s="90" t="s">
        <v>32</v>
      </c>
      <c r="G296" s="90" t="s">
        <v>15</v>
      </c>
      <c r="H296" s="90" t="s">
        <v>201</v>
      </c>
      <c r="I296" s="135" t="s">
        <v>444</v>
      </c>
      <c r="J296" s="151">
        <v>45442</v>
      </c>
      <c r="K296" s="135" t="s">
        <v>117</v>
      </c>
      <c r="L296" s="135">
        <v>262009769</v>
      </c>
      <c r="M296" s="151">
        <v>45449</v>
      </c>
      <c r="N296" s="152">
        <v>45449.364583333336</v>
      </c>
      <c r="O296" s="152">
        <v>45449.364583333336</v>
      </c>
      <c r="P296" s="152">
        <v>45449.388888888891</v>
      </c>
      <c r="Q296" s="152">
        <v>45449.572916666664</v>
      </c>
      <c r="R296" s="114" t="s">
        <v>118</v>
      </c>
      <c r="S296" s="114">
        <v>45449.763888888891</v>
      </c>
      <c r="T296" s="114">
        <v>45449.770833333336</v>
      </c>
      <c r="U296" s="114">
        <v>45449.859722222223</v>
      </c>
      <c r="V296" s="95">
        <f t="shared" si="164"/>
        <v>0.20833333332848269</v>
      </c>
      <c r="W296" s="95">
        <v>0.20833333333333334</v>
      </c>
      <c r="X296" s="95" t="str">
        <f t="shared" si="165"/>
        <v>00:00</v>
      </c>
      <c r="Y296" s="96">
        <v>1</v>
      </c>
      <c r="Z296" s="96">
        <v>57</v>
      </c>
      <c r="AA296" s="96">
        <f t="shared" si="158"/>
        <v>58</v>
      </c>
      <c r="AB296" s="97">
        <f t="shared" si="159"/>
        <v>62.802241379310345</v>
      </c>
      <c r="AC296" s="97">
        <f t="shared" si="160"/>
        <v>3579.7277586206897</v>
      </c>
      <c r="AD296" s="98">
        <v>3642.53</v>
      </c>
      <c r="AE296" s="98">
        <v>4035</v>
      </c>
      <c r="AF296" s="98">
        <v>4035</v>
      </c>
      <c r="AG296" s="98">
        <f t="shared" si="161"/>
        <v>392.4699999999998</v>
      </c>
      <c r="AH296" s="99">
        <v>2230.6999999999998</v>
      </c>
      <c r="AI296" s="100">
        <f t="shared" si="162"/>
        <v>9000874.5</v>
      </c>
      <c r="AJ296" s="100">
        <f t="shared" si="163"/>
        <v>0</v>
      </c>
      <c r="AK296" s="100">
        <v>0</v>
      </c>
      <c r="AL296" s="100">
        <v>0</v>
      </c>
      <c r="AM296" s="100">
        <v>0</v>
      </c>
      <c r="AN296" s="100">
        <v>0</v>
      </c>
      <c r="AO296" s="100">
        <v>0</v>
      </c>
      <c r="AP296" s="100">
        <f t="shared" si="166"/>
        <v>450044</v>
      </c>
      <c r="AQ296" s="101">
        <f t="shared" si="167"/>
        <v>9450919</v>
      </c>
      <c r="AR296" s="101">
        <v>0</v>
      </c>
      <c r="AS296" s="101">
        <v>0</v>
      </c>
      <c r="AT296" s="102" t="s">
        <v>33</v>
      </c>
      <c r="AU296" s="157" t="s">
        <v>118</v>
      </c>
      <c r="AV296" s="100">
        <v>0</v>
      </c>
      <c r="AW296" s="105"/>
      <c r="AX296" s="106">
        <f t="shared" si="168"/>
        <v>9.7266418835192017</v>
      </c>
      <c r="AY296" s="101">
        <f t="shared" si="169"/>
        <v>875483</v>
      </c>
      <c r="AZ296" s="107"/>
      <c r="BA296" s="94">
        <v>45449.364583333336</v>
      </c>
      <c r="BB296" s="94">
        <v>45449.388888888891</v>
      </c>
      <c r="BC296" s="94">
        <v>45449.395833333336</v>
      </c>
      <c r="BD296" s="94">
        <v>45449.75</v>
      </c>
      <c r="BE296" s="95">
        <f t="shared" si="170"/>
        <v>0.38541666666424135</v>
      </c>
      <c r="BF296" s="95">
        <v>1.9444444444444445E-2</v>
      </c>
      <c r="BG296" s="95">
        <v>0.2</v>
      </c>
      <c r="BH296" s="95">
        <f t="shared" si="171"/>
        <v>2.4305555554747116E-2</v>
      </c>
      <c r="BI296" s="95">
        <f t="shared" si="171"/>
        <v>6.9444444452528842E-3</v>
      </c>
      <c r="BJ296" s="95">
        <f t="shared" si="171"/>
        <v>0.35416666666424135</v>
      </c>
      <c r="BK296" s="95">
        <f t="shared" si="172"/>
        <v>0.36111111110949423</v>
      </c>
      <c r="BL296" s="95">
        <f t="shared" si="173"/>
        <v>0.14166666666504979</v>
      </c>
      <c r="BM296" s="95">
        <f t="shared" si="174"/>
        <v>0.177083333330908</v>
      </c>
      <c r="BN296" s="110"/>
    </row>
    <row r="297" spans="1:66" s="8" customFormat="1" ht="12.75" customHeight="1" x14ac:dyDescent="0.25">
      <c r="A297" s="150">
        <v>258</v>
      </c>
      <c r="B297" s="150">
        <v>23</v>
      </c>
      <c r="C297" s="90">
        <v>10</v>
      </c>
      <c r="D297" s="90" t="s">
        <v>148</v>
      </c>
      <c r="E297" s="91" t="s">
        <v>425</v>
      </c>
      <c r="F297" s="90" t="s">
        <v>19</v>
      </c>
      <c r="G297" s="90" t="s">
        <v>17</v>
      </c>
      <c r="H297" s="90" t="s">
        <v>150</v>
      </c>
      <c r="I297" s="135" t="s">
        <v>445</v>
      </c>
      <c r="J297" s="151">
        <v>45447</v>
      </c>
      <c r="K297" s="135" t="s">
        <v>122</v>
      </c>
      <c r="L297" s="135">
        <v>461000277</v>
      </c>
      <c r="M297" s="151">
        <v>45450</v>
      </c>
      <c r="N297" s="152">
        <v>45449.666666666664</v>
      </c>
      <c r="O297" s="152">
        <v>45449.666666666664</v>
      </c>
      <c r="P297" s="152">
        <v>45449.670138888891</v>
      </c>
      <c r="Q297" s="152">
        <v>45449.875</v>
      </c>
      <c r="R297" s="114" t="s">
        <v>118</v>
      </c>
      <c r="S297" s="114">
        <v>45449.923611111109</v>
      </c>
      <c r="T297" s="114">
        <v>45449.9375</v>
      </c>
      <c r="U297" s="114">
        <v>45450.021527777775</v>
      </c>
      <c r="V297" s="95">
        <f t="shared" si="164"/>
        <v>0.20833333333575865</v>
      </c>
      <c r="W297" s="95">
        <v>0.20833333333333334</v>
      </c>
      <c r="X297" s="95">
        <f t="shared" si="165"/>
        <v>2.4253099528692701E-12</v>
      </c>
      <c r="Y297" s="96">
        <v>0</v>
      </c>
      <c r="Z297" s="96">
        <v>59</v>
      </c>
      <c r="AA297" s="96">
        <f t="shared" si="158"/>
        <v>59</v>
      </c>
      <c r="AB297" s="97">
        <f t="shared" si="159"/>
        <v>0</v>
      </c>
      <c r="AC297" s="97">
        <f t="shared" si="160"/>
        <v>3992.1099999999997</v>
      </c>
      <c r="AD297" s="98">
        <v>3992.11</v>
      </c>
      <c r="AE297" s="98">
        <v>4096.8</v>
      </c>
      <c r="AF297" s="98">
        <v>4097.6000000000004</v>
      </c>
      <c r="AG297" s="98">
        <f t="shared" si="161"/>
        <v>105.49000000000024</v>
      </c>
      <c r="AH297" s="99">
        <v>672.5</v>
      </c>
      <c r="AI297" s="100">
        <f t="shared" si="162"/>
        <v>2755636.0000000005</v>
      </c>
      <c r="AJ297" s="100">
        <f t="shared" si="163"/>
        <v>0</v>
      </c>
      <c r="AK297" s="100">
        <v>0</v>
      </c>
      <c r="AL297" s="100">
        <v>0</v>
      </c>
      <c r="AM297" s="100">
        <v>0</v>
      </c>
      <c r="AN297" s="100">
        <v>0</v>
      </c>
      <c r="AO297" s="100">
        <v>0</v>
      </c>
      <c r="AP297" s="100">
        <f t="shared" si="166"/>
        <v>137782</v>
      </c>
      <c r="AQ297" s="101">
        <f t="shared" si="167"/>
        <v>2893418</v>
      </c>
      <c r="AR297" s="101">
        <v>0</v>
      </c>
      <c r="AS297" s="101">
        <v>0</v>
      </c>
      <c r="AT297" s="102" t="s">
        <v>33</v>
      </c>
      <c r="AU297" s="157" t="s">
        <v>118</v>
      </c>
      <c r="AV297" s="100">
        <v>0</v>
      </c>
      <c r="AW297" s="105"/>
      <c r="AX297" s="106">
        <f t="shared" si="168"/>
        <v>2.5744338149160542</v>
      </c>
      <c r="AY297" s="101">
        <f t="shared" si="169"/>
        <v>70943</v>
      </c>
      <c r="AZ297" s="107"/>
      <c r="BA297" s="94">
        <v>45449.666666666664</v>
      </c>
      <c r="BB297" s="94">
        <v>45449.670138888891</v>
      </c>
      <c r="BC297" s="94">
        <v>45449.763888888891</v>
      </c>
      <c r="BD297" s="94">
        <v>45449.90625</v>
      </c>
      <c r="BE297" s="95">
        <f t="shared" si="170"/>
        <v>0.23958333333575865</v>
      </c>
      <c r="BF297" s="95">
        <v>1.3194444444444444E-2</v>
      </c>
      <c r="BG297" s="95">
        <v>8.3333333333333329E-2</v>
      </c>
      <c r="BH297" s="95">
        <f t="shared" si="171"/>
        <v>3.4722222262644209E-3</v>
      </c>
      <c r="BI297" s="95">
        <f t="shared" si="171"/>
        <v>9.375E-2</v>
      </c>
      <c r="BJ297" s="95">
        <f t="shared" si="171"/>
        <v>0.14236111110949423</v>
      </c>
      <c r="BK297" s="95">
        <f t="shared" si="172"/>
        <v>0.23611111110949423</v>
      </c>
      <c r="BL297" s="95">
        <f t="shared" si="173"/>
        <v>0.13958333333171646</v>
      </c>
      <c r="BM297" s="95">
        <f t="shared" si="174"/>
        <v>3.125000000242531E-2</v>
      </c>
      <c r="BN297" s="110"/>
    </row>
    <row r="298" spans="1:66" s="8" customFormat="1" ht="12.75" customHeight="1" x14ac:dyDescent="0.25">
      <c r="A298" s="150">
        <v>259</v>
      </c>
      <c r="B298" s="150">
        <v>24</v>
      </c>
      <c r="C298" s="90">
        <v>11</v>
      </c>
      <c r="D298" s="90" t="s">
        <v>148</v>
      </c>
      <c r="E298" s="91" t="s">
        <v>425</v>
      </c>
      <c r="F298" s="90" t="s">
        <v>19</v>
      </c>
      <c r="G298" s="90" t="s">
        <v>17</v>
      </c>
      <c r="H298" s="90" t="s">
        <v>150</v>
      </c>
      <c r="I298" s="135" t="s">
        <v>446</v>
      </c>
      <c r="J298" s="151">
        <v>45447</v>
      </c>
      <c r="K298" s="135" t="s">
        <v>117</v>
      </c>
      <c r="L298" s="135">
        <v>461000278</v>
      </c>
      <c r="M298" s="151">
        <v>45450</v>
      </c>
      <c r="N298" s="152">
        <v>45449.878472222219</v>
      </c>
      <c r="O298" s="152">
        <v>45449.822916666664</v>
      </c>
      <c r="P298" s="152">
        <v>45449.881944444445</v>
      </c>
      <c r="Q298" s="152">
        <v>45449.989583333336</v>
      </c>
      <c r="R298" s="114">
        <v>45449.878472222219</v>
      </c>
      <c r="S298" s="114" t="s">
        <v>118</v>
      </c>
      <c r="T298" s="114">
        <v>45450.069444444445</v>
      </c>
      <c r="U298" s="114">
        <v>45450.22152777778</v>
      </c>
      <c r="V298" s="95">
        <f t="shared" si="164"/>
        <v>0.16666666667151731</v>
      </c>
      <c r="W298" s="95">
        <v>0.20833333333333334</v>
      </c>
      <c r="X298" s="95" t="str">
        <f t="shared" si="165"/>
        <v>00:00</v>
      </c>
      <c r="Y298" s="96">
        <v>2</v>
      </c>
      <c r="Z298" s="96">
        <v>56</v>
      </c>
      <c r="AA298" s="96">
        <f t="shared" si="158"/>
        <v>58</v>
      </c>
      <c r="AB298" s="97">
        <f t="shared" si="159"/>
        <v>139.28758620689655</v>
      </c>
      <c r="AC298" s="97">
        <f t="shared" si="160"/>
        <v>3900.0524137931034</v>
      </c>
      <c r="AD298" s="98">
        <v>4039.34</v>
      </c>
      <c r="AE298" s="98">
        <v>4056</v>
      </c>
      <c r="AF298" s="98">
        <v>4069</v>
      </c>
      <c r="AG298" s="98">
        <f t="shared" si="161"/>
        <v>29.659999999999854</v>
      </c>
      <c r="AH298" s="99">
        <v>672.5</v>
      </c>
      <c r="AI298" s="100">
        <f t="shared" si="162"/>
        <v>2736402.5</v>
      </c>
      <c r="AJ298" s="100">
        <f>(0.2*AH298)*2</f>
        <v>269</v>
      </c>
      <c r="AK298" s="100">
        <v>0</v>
      </c>
      <c r="AL298" s="100">
        <v>0</v>
      </c>
      <c r="AM298" s="100">
        <v>0</v>
      </c>
      <c r="AN298" s="100">
        <v>0</v>
      </c>
      <c r="AO298" s="100">
        <v>0</v>
      </c>
      <c r="AP298" s="100">
        <f t="shared" si="166"/>
        <v>136834</v>
      </c>
      <c r="AQ298" s="101">
        <f t="shared" si="167"/>
        <v>2873506</v>
      </c>
      <c r="AR298" s="101">
        <v>0</v>
      </c>
      <c r="AS298" s="101">
        <v>0</v>
      </c>
      <c r="AT298" s="102" t="s">
        <v>33</v>
      </c>
      <c r="AU298" s="157" t="s">
        <v>118</v>
      </c>
      <c r="AV298" s="100">
        <v>0</v>
      </c>
      <c r="AW298" s="105"/>
      <c r="AX298" s="106">
        <f t="shared" si="168"/>
        <v>0.72892602605062307</v>
      </c>
      <c r="AY298" s="101">
        <f t="shared" si="169"/>
        <v>19947</v>
      </c>
      <c r="AZ298" s="107"/>
      <c r="BA298" s="94">
        <v>45449.878472222219</v>
      </c>
      <c r="BB298" s="94">
        <v>45449.881944444445</v>
      </c>
      <c r="BC298" s="94">
        <v>45449.947916666664</v>
      </c>
      <c r="BD298" s="94">
        <v>45450.052777777775</v>
      </c>
      <c r="BE298" s="95">
        <f t="shared" si="170"/>
        <v>0.17430555555620231</v>
      </c>
      <c r="BF298" s="95">
        <v>0</v>
      </c>
      <c r="BG298" s="95">
        <v>6.5972222222222224E-2</v>
      </c>
      <c r="BH298" s="95">
        <f t="shared" si="171"/>
        <v>3.4722222262644209E-3</v>
      </c>
      <c r="BI298" s="95">
        <f t="shared" si="171"/>
        <v>6.5972222218988463E-2</v>
      </c>
      <c r="BJ298" s="95">
        <f t="shared" si="171"/>
        <v>0.10486111111094942</v>
      </c>
      <c r="BK298" s="95">
        <f t="shared" si="172"/>
        <v>0.17083333332993789</v>
      </c>
      <c r="BL298" s="95">
        <f t="shared" si="173"/>
        <v>0.10486111110771566</v>
      </c>
      <c r="BM298" s="95" t="str">
        <f t="shared" si="174"/>
        <v>00:00</v>
      </c>
      <c r="BN298" s="110"/>
    </row>
    <row r="299" spans="1:66" s="8" customFormat="1" ht="12.75" customHeight="1" x14ac:dyDescent="0.25">
      <c r="A299" s="150">
        <v>260</v>
      </c>
      <c r="B299" s="150">
        <v>25</v>
      </c>
      <c r="C299" s="90">
        <v>12</v>
      </c>
      <c r="D299" s="90" t="s">
        <v>148</v>
      </c>
      <c r="E299" s="91" t="s">
        <v>425</v>
      </c>
      <c r="F299" s="90" t="s">
        <v>19</v>
      </c>
      <c r="G299" s="90" t="s">
        <v>17</v>
      </c>
      <c r="H299" s="90" t="s">
        <v>150</v>
      </c>
      <c r="I299" s="135" t="s">
        <v>447</v>
      </c>
      <c r="J299" s="151">
        <v>45447</v>
      </c>
      <c r="K299" s="135" t="s">
        <v>122</v>
      </c>
      <c r="L299" s="135">
        <v>461000279</v>
      </c>
      <c r="M299" s="151">
        <v>45450</v>
      </c>
      <c r="N299" s="152">
        <v>45450.052083333336</v>
      </c>
      <c r="O299" s="152">
        <v>45450.052083333336</v>
      </c>
      <c r="P299" s="152">
        <v>45450.055555555555</v>
      </c>
      <c r="Q299" s="152">
        <v>45450.260416666664</v>
      </c>
      <c r="R299" s="114" t="s">
        <v>118</v>
      </c>
      <c r="S299" s="114" t="s">
        <v>118</v>
      </c>
      <c r="T299" s="114">
        <v>45450.3125</v>
      </c>
      <c r="U299" s="114">
        <v>45450.447916666664</v>
      </c>
      <c r="V299" s="95">
        <f t="shared" si="164"/>
        <v>0.20833333332848269</v>
      </c>
      <c r="W299" s="95">
        <v>0.20833333333333334</v>
      </c>
      <c r="X299" s="95" t="str">
        <f t="shared" si="165"/>
        <v>00:00</v>
      </c>
      <c r="Y299" s="96">
        <v>0</v>
      </c>
      <c r="Z299" s="96">
        <v>58</v>
      </c>
      <c r="AA299" s="96">
        <f t="shared" si="158"/>
        <v>58</v>
      </c>
      <c r="AB299" s="97">
        <f t="shared" si="159"/>
        <v>0</v>
      </c>
      <c r="AC299" s="97">
        <f t="shared" si="160"/>
        <v>4041</v>
      </c>
      <c r="AD299" s="98">
        <v>4041</v>
      </c>
      <c r="AE299" s="98">
        <v>4060</v>
      </c>
      <c r="AF299" s="98">
        <v>4074.2</v>
      </c>
      <c r="AG299" s="98">
        <f t="shared" si="161"/>
        <v>33.199999999999818</v>
      </c>
      <c r="AH299" s="99">
        <v>672.5</v>
      </c>
      <c r="AI299" s="100">
        <f t="shared" si="162"/>
        <v>2739899.5</v>
      </c>
      <c r="AJ299" s="100">
        <f t="shared" ref="AJ299:AJ309" si="175">(0*AH299)*2</f>
        <v>0</v>
      </c>
      <c r="AK299" s="100">
        <v>0</v>
      </c>
      <c r="AL299" s="100">
        <v>0</v>
      </c>
      <c r="AM299" s="100">
        <v>0</v>
      </c>
      <c r="AN299" s="100">
        <v>0</v>
      </c>
      <c r="AO299" s="100">
        <v>0</v>
      </c>
      <c r="AP299" s="100">
        <f t="shared" si="166"/>
        <v>136995</v>
      </c>
      <c r="AQ299" s="101">
        <f t="shared" si="167"/>
        <v>2876895</v>
      </c>
      <c r="AR299" s="101">
        <v>0</v>
      </c>
      <c r="AS299" s="101">
        <v>0</v>
      </c>
      <c r="AT299" s="102" t="s">
        <v>33</v>
      </c>
      <c r="AU299" s="157">
        <v>2</v>
      </c>
      <c r="AV299" s="100">
        <f>15.6-13.6</f>
        <v>2</v>
      </c>
      <c r="AW299" s="105"/>
      <c r="AX299" s="106">
        <f t="shared" si="168"/>
        <v>0.8148839035884301</v>
      </c>
      <c r="AY299" s="101">
        <f t="shared" si="169"/>
        <v>22327</v>
      </c>
      <c r="AZ299" s="107"/>
      <c r="BA299" s="94">
        <v>45450.052083333336</v>
      </c>
      <c r="BB299" s="94">
        <v>45450.055555555555</v>
      </c>
      <c r="BC299" s="94">
        <v>45450.072916666664</v>
      </c>
      <c r="BD299" s="94">
        <v>45450.267361111109</v>
      </c>
      <c r="BE299" s="95">
        <f t="shared" si="170"/>
        <v>0.21527777777373558</v>
      </c>
      <c r="BF299" s="95">
        <v>8.0555555555555561E-2</v>
      </c>
      <c r="BG299" s="95">
        <v>4.1666666666666666E-3</v>
      </c>
      <c r="BH299" s="95">
        <f t="shared" si="171"/>
        <v>3.4722222189884633E-3</v>
      </c>
      <c r="BI299" s="95">
        <f t="shared" si="171"/>
        <v>1.7361111109494232E-2</v>
      </c>
      <c r="BJ299" s="95">
        <f t="shared" si="171"/>
        <v>0.19444444444525288</v>
      </c>
      <c r="BK299" s="95">
        <f t="shared" si="172"/>
        <v>0.21180555555474712</v>
      </c>
      <c r="BL299" s="95">
        <f t="shared" si="173"/>
        <v>0.12708333333252489</v>
      </c>
      <c r="BM299" s="95">
        <f t="shared" si="174"/>
        <v>6.9444444404022365E-3</v>
      </c>
      <c r="BN299" s="110"/>
    </row>
    <row r="300" spans="1:66" s="8" customFormat="1" ht="12.75" customHeight="1" x14ac:dyDescent="0.25">
      <c r="A300" s="150">
        <v>261</v>
      </c>
      <c r="B300" s="150">
        <v>26</v>
      </c>
      <c r="C300" s="90">
        <v>6</v>
      </c>
      <c r="D300" s="90" t="s">
        <v>113</v>
      </c>
      <c r="E300" s="91" t="s">
        <v>366</v>
      </c>
      <c r="F300" s="90" t="s">
        <v>13</v>
      </c>
      <c r="G300" s="90" t="s">
        <v>8</v>
      </c>
      <c r="H300" s="90" t="s">
        <v>131</v>
      </c>
      <c r="I300" s="135" t="s">
        <v>448</v>
      </c>
      <c r="J300" s="151">
        <v>45449</v>
      </c>
      <c r="K300" s="135" t="s">
        <v>117</v>
      </c>
      <c r="L300" s="135">
        <v>282000968</v>
      </c>
      <c r="M300" s="151">
        <v>45451</v>
      </c>
      <c r="N300" s="152">
        <v>45450.25</v>
      </c>
      <c r="O300" s="152">
        <v>45450.25</v>
      </c>
      <c r="P300" s="152">
        <v>45450.253472222219</v>
      </c>
      <c r="Q300" s="152">
        <v>45450.458333333336</v>
      </c>
      <c r="R300" s="114" t="s">
        <v>118</v>
      </c>
      <c r="S300" s="114" t="s">
        <v>118</v>
      </c>
      <c r="T300" s="114">
        <v>45450.541666666664</v>
      </c>
      <c r="U300" s="114">
        <v>45450.652777777781</v>
      </c>
      <c r="V300" s="95">
        <f t="shared" si="164"/>
        <v>0.20833333333575865</v>
      </c>
      <c r="W300" s="95">
        <v>0.20833333333333334</v>
      </c>
      <c r="X300" s="95">
        <f t="shared" si="165"/>
        <v>2.4253099528692701E-12</v>
      </c>
      <c r="Y300" s="96">
        <v>0</v>
      </c>
      <c r="Z300" s="96">
        <v>59</v>
      </c>
      <c r="AA300" s="96">
        <f t="shared" si="158"/>
        <v>59</v>
      </c>
      <c r="AB300" s="97">
        <f t="shared" si="159"/>
        <v>0</v>
      </c>
      <c r="AC300" s="97">
        <f t="shared" si="160"/>
        <v>4085.6000000000004</v>
      </c>
      <c r="AD300" s="98">
        <v>4085.6</v>
      </c>
      <c r="AE300" s="98">
        <v>4122.3</v>
      </c>
      <c r="AF300" s="98">
        <v>4129</v>
      </c>
      <c r="AG300" s="98">
        <f t="shared" si="161"/>
        <v>43.400000000000091</v>
      </c>
      <c r="AH300" s="99">
        <v>1398.7</v>
      </c>
      <c r="AI300" s="100">
        <f t="shared" si="162"/>
        <v>5775232.2999999998</v>
      </c>
      <c r="AJ300" s="100">
        <f t="shared" si="175"/>
        <v>0</v>
      </c>
      <c r="AK300" s="100">
        <v>0</v>
      </c>
      <c r="AL300" s="100">
        <v>24290</v>
      </c>
      <c r="AM300" s="100">
        <v>0</v>
      </c>
      <c r="AN300" s="100">
        <v>0</v>
      </c>
      <c r="AO300" s="100">
        <v>0</v>
      </c>
      <c r="AP300" s="100">
        <f t="shared" si="166"/>
        <v>289977</v>
      </c>
      <c r="AQ300" s="101">
        <f t="shared" si="167"/>
        <v>6089500</v>
      </c>
      <c r="AR300" s="101">
        <v>0</v>
      </c>
      <c r="AS300" s="101">
        <v>0</v>
      </c>
      <c r="AT300" s="102" t="s">
        <v>33</v>
      </c>
      <c r="AU300" s="157">
        <v>1</v>
      </c>
      <c r="AV300" s="100">
        <f>7.6-6.6</f>
        <v>1</v>
      </c>
      <c r="AW300" s="105"/>
      <c r="AX300" s="106">
        <f t="shared" si="168"/>
        <v>1.0511019617340782</v>
      </c>
      <c r="AY300" s="101">
        <f t="shared" si="169"/>
        <v>60704</v>
      </c>
      <c r="AZ300" s="107"/>
      <c r="BA300" s="94">
        <v>45450.25</v>
      </c>
      <c r="BB300" s="94">
        <v>45450.253472222219</v>
      </c>
      <c r="BC300" s="94">
        <v>45450.294444444444</v>
      </c>
      <c r="BD300" s="94">
        <v>45450.463888888888</v>
      </c>
      <c r="BE300" s="95">
        <f t="shared" si="170"/>
        <v>0.21388888888759539</v>
      </c>
      <c r="BF300" s="95">
        <v>3.2638888888888891E-2</v>
      </c>
      <c r="BG300" s="95">
        <v>4.3749999999999997E-2</v>
      </c>
      <c r="BH300" s="95">
        <f t="shared" si="171"/>
        <v>3.4722222189884633E-3</v>
      </c>
      <c r="BI300" s="95">
        <f t="shared" si="171"/>
        <v>4.0972222224809229E-2</v>
      </c>
      <c r="BJ300" s="95">
        <f t="shared" si="171"/>
        <v>0.16944444444379769</v>
      </c>
      <c r="BK300" s="95">
        <f t="shared" si="172"/>
        <v>0.21041666666860692</v>
      </c>
      <c r="BL300" s="95">
        <f t="shared" si="173"/>
        <v>0.13402777777971803</v>
      </c>
      <c r="BM300" s="95">
        <f t="shared" si="174"/>
        <v>5.5555555542620427E-3</v>
      </c>
      <c r="BN300" s="110"/>
    </row>
    <row r="301" spans="1:66" s="8" customFormat="1" ht="12.75" customHeight="1" x14ac:dyDescent="0.25">
      <c r="A301" s="150">
        <v>262</v>
      </c>
      <c r="B301" s="150">
        <v>27</v>
      </c>
      <c r="C301" s="90">
        <v>13</v>
      </c>
      <c r="D301" s="90" t="s">
        <v>148</v>
      </c>
      <c r="E301" s="91" t="s">
        <v>425</v>
      </c>
      <c r="F301" s="90" t="s">
        <v>19</v>
      </c>
      <c r="G301" s="90" t="s">
        <v>17</v>
      </c>
      <c r="H301" s="90" t="s">
        <v>150</v>
      </c>
      <c r="I301" s="135" t="s">
        <v>449</v>
      </c>
      <c r="J301" s="151">
        <v>45449</v>
      </c>
      <c r="K301" s="135" t="s">
        <v>117</v>
      </c>
      <c r="L301" s="135">
        <v>461000280</v>
      </c>
      <c r="M301" s="151">
        <v>45451</v>
      </c>
      <c r="N301" s="152">
        <v>45450.697916666664</v>
      </c>
      <c r="O301" s="152">
        <v>45450.645833333336</v>
      </c>
      <c r="P301" s="152">
        <v>45450.704861111109</v>
      </c>
      <c r="Q301" s="152">
        <v>45450.854166666664</v>
      </c>
      <c r="R301" s="114">
        <v>45450.697916666664</v>
      </c>
      <c r="S301" s="114" t="s">
        <v>118</v>
      </c>
      <c r="T301" s="114">
        <v>45450.916666666664</v>
      </c>
      <c r="U301" s="114">
        <v>45451.03125</v>
      </c>
      <c r="V301" s="95">
        <f t="shared" si="164"/>
        <v>0.20833333332848269</v>
      </c>
      <c r="W301" s="95">
        <v>0.20833333333333334</v>
      </c>
      <c r="X301" s="95" t="str">
        <f t="shared" si="165"/>
        <v>00:00</v>
      </c>
      <c r="Y301" s="96">
        <v>2</v>
      </c>
      <c r="Z301" s="96">
        <v>57</v>
      </c>
      <c r="AA301" s="96">
        <f t="shared" si="158"/>
        <v>59</v>
      </c>
      <c r="AB301" s="97">
        <f t="shared" si="159"/>
        <v>138.43864406779662</v>
      </c>
      <c r="AC301" s="97">
        <f t="shared" si="160"/>
        <v>3945.5013559322038</v>
      </c>
      <c r="AD301" s="98">
        <v>4083.94</v>
      </c>
      <c r="AE301" s="98">
        <v>4119.6000000000004</v>
      </c>
      <c r="AF301" s="98">
        <v>4133.2</v>
      </c>
      <c r="AG301" s="98">
        <f t="shared" si="161"/>
        <v>49.259999999999764</v>
      </c>
      <c r="AH301" s="99">
        <v>672.5</v>
      </c>
      <c r="AI301" s="100">
        <f t="shared" si="162"/>
        <v>2779577</v>
      </c>
      <c r="AJ301" s="100">
        <f t="shared" si="175"/>
        <v>0</v>
      </c>
      <c r="AK301" s="100">
        <v>0</v>
      </c>
      <c r="AL301" s="100">
        <v>48430</v>
      </c>
      <c r="AM301" s="100">
        <v>0</v>
      </c>
      <c r="AN301" s="100">
        <v>0</v>
      </c>
      <c r="AO301" s="100">
        <v>0</v>
      </c>
      <c r="AP301" s="100">
        <f t="shared" si="166"/>
        <v>141401</v>
      </c>
      <c r="AQ301" s="101">
        <f t="shared" si="167"/>
        <v>2969408</v>
      </c>
      <c r="AR301" s="101">
        <v>0</v>
      </c>
      <c r="AS301" s="101">
        <v>0</v>
      </c>
      <c r="AT301" s="102" t="s">
        <v>33</v>
      </c>
      <c r="AU301" s="157">
        <v>10</v>
      </c>
      <c r="AV301" s="100">
        <f>26.2-11.7</f>
        <v>14.5</v>
      </c>
      <c r="AW301" s="105"/>
      <c r="AX301" s="106">
        <f t="shared" si="168"/>
        <v>1.1918126391173851</v>
      </c>
      <c r="AY301" s="101">
        <f t="shared" si="169"/>
        <v>33128</v>
      </c>
      <c r="AZ301" s="107"/>
      <c r="BA301" s="94">
        <v>45450.697916666664</v>
      </c>
      <c r="BB301" s="94">
        <v>45450.704861111109</v>
      </c>
      <c r="BC301" s="94">
        <v>45450.760416666664</v>
      </c>
      <c r="BD301" s="94">
        <v>45450.875</v>
      </c>
      <c r="BE301" s="95">
        <f t="shared" si="170"/>
        <v>0.17708333333575865</v>
      </c>
      <c r="BF301" s="95">
        <v>5.8333333333333334E-2</v>
      </c>
      <c r="BG301" s="95">
        <v>5.5555555555555558E-3</v>
      </c>
      <c r="BH301" s="95">
        <f t="shared" si="171"/>
        <v>6.9444444452528842E-3</v>
      </c>
      <c r="BI301" s="95">
        <f t="shared" si="171"/>
        <v>5.5555555554747116E-2</v>
      </c>
      <c r="BJ301" s="95">
        <f t="shared" si="171"/>
        <v>0.11458333333575865</v>
      </c>
      <c r="BK301" s="95">
        <f t="shared" si="172"/>
        <v>0.17013888889050577</v>
      </c>
      <c r="BL301" s="95">
        <f t="shared" si="173"/>
        <v>0.10625000000161688</v>
      </c>
      <c r="BM301" s="95" t="str">
        <f t="shared" si="174"/>
        <v>00:00</v>
      </c>
      <c r="BN301" s="110"/>
    </row>
    <row r="302" spans="1:66" s="8" customFormat="1" ht="12.75" customHeight="1" x14ac:dyDescent="0.25">
      <c r="A302" s="150">
        <v>263</v>
      </c>
      <c r="B302" s="150">
        <v>28</v>
      </c>
      <c r="C302" s="90">
        <v>14</v>
      </c>
      <c r="D302" s="90" t="s">
        <v>148</v>
      </c>
      <c r="E302" s="91" t="s">
        <v>425</v>
      </c>
      <c r="F302" s="90" t="s">
        <v>19</v>
      </c>
      <c r="G302" s="90" t="s">
        <v>17</v>
      </c>
      <c r="H302" s="90" t="s">
        <v>150</v>
      </c>
      <c r="I302" s="135" t="s">
        <v>450</v>
      </c>
      <c r="J302" s="151">
        <v>45449</v>
      </c>
      <c r="K302" s="135" t="s">
        <v>122</v>
      </c>
      <c r="L302" s="135">
        <v>461000281</v>
      </c>
      <c r="M302" s="151">
        <v>45451</v>
      </c>
      <c r="N302" s="152">
        <v>45450.770833333336</v>
      </c>
      <c r="O302" s="152">
        <v>45450.770833333336</v>
      </c>
      <c r="P302" s="152">
        <v>45450.774305555555</v>
      </c>
      <c r="Q302" s="152">
        <v>45450.979166666664</v>
      </c>
      <c r="R302" s="114" t="s">
        <v>118</v>
      </c>
      <c r="S302" s="114">
        <v>45451.145833333336</v>
      </c>
      <c r="T302" s="114">
        <v>45451.152777777781</v>
      </c>
      <c r="U302" s="114">
        <v>45451.277777777781</v>
      </c>
      <c r="V302" s="95">
        <f t="shared" si="164"/>
        <v>0.20833333332848269</v>
      </c>
      <c r="W302" s="95">
        <v>0.20833333333333334</v>
      </c>
      <c r="X302" s="95" t="str">
        <f t="shared" si="165"/>
        <v>00:00</v>
      </c>
      <c r="Y302" s="96">
        <v>6</v>
      </c>
      <c r="Z302" s="96">
        <v>52</v>
      </c>
      <c r="AA302" s="96">
        <f t="shared" si="158"/>
        <v>58</v>
      </c>
      <c r="AB302" s="97">
        <f t="shared" si="159"/>
        <v>414.53896551724137</v>
      </c>
      <c r="AC302" s="97">
        <f t="shared" si="160"/>
        <v>3592.6710344827584</v>
      </c>
      <c r="AD302" s="98">
        <v>4007.21</v>
      </c>
      <c r="AE302" s="98">
        <v>4021.5</v>
      </c>
      <c r="AF302" s="98">
        <v>4037.6</v>
      </c>
      <c r="AG302" s="98">
        <f t="shared" si="161"/>
        <v>30.389999999999873</v>
      </c>
      <c r="AH302" s="99">
        <v>672.5</v>
      </c>
      <c r="AI302" s="100">
        <f t="shared" si="162"/>
        <v>2715286</v>
      </c>
      <c r="AJ302" s="100">
        <f t="shared" si="175"/>
        <v>0</v>
      </c>
      <c r="AK302" s="100">
        <v>0</v>
      </c>
      <c r="AL302" s="100">
        <v>24140</v>
      </c>
      <c r="AM302" s="100">
        <v>0</v>
      </c>
      <c r="AN302" s="100">
        <v>0</v>
      </c>
      <c r="AO302" s="100">
        <v>0</v>
      </c>
      <c r="AP302" s="100">
        <f t="shared" si="166"/>
        <v>136972</v>
      </c>
      <c r="AQ302" s="101">
        <f t="shared" si="167"/>
        <v>2876398</v>
      </c>
      <c r="AR302" s="101">
        <v>0</v>
      </c>
      <c r="AS302" s="101">
        <v>0</v>
      </c>
      <c r="AT302" s="102" t="s">
        <v>33</v>
      </c>
      <c r="AU302" s="157">
        <v>7</v>
      </c>
      <c r="AV302" s="100">
        <f>21.74-14.24</f>
        <v>7.4999999999999982</v>
      </c>
      <c r="AW302" s="105"/>
      <c r="AX302" s="106">
        <f t="shared" si="168"/>
        <v>0.75267485635030396</v>
      </c>
      <c r="AY302" s="101">
        <f t="shared" si="169"/>
        <v>20438</v>
      </c>
      <c r="AZ302" s="107"/>
      <c r="BA302" s="94">
        <v>45450.770833333336</v>
      </c>
      <c r="BB302" s="94">
        <v>45450.774305555555</v>
      </c>
      <c r="BC302" s="94">
        <v>45450.902777777781</v>
      </c>
      <c r="BD302" s="94">
        <v>45451.131944444445</v>
      </c>
      <c r="BE302" s="95">
        <f t="shared" si="170"/>
        <v>0.36111111110949423</v>
      </c>
      <c r="BF302" s="95">
        <v>0.11874999999999999</v>
      </c>
      <c r="BG302" s="95">
        <v>0.12847222222222221</v>
      </c>
      <c r="BH302" s="95">
        <f t="shared" si="171"/>
        <v>3.4722222189884633E-3</v>
      </c>
      <c r="BI302" s="95">
        <f t="shared" si="171"/>
        <v>0.12847222222626442</v>
      </c>
      <c r="BJ302" s="95">
        <f t="shared" si="171"/>
        <v>0.22916666666424135</v>
      </c>
      <c r="BK302" s="95">
        <f t="shared" si="172"/>
        <v>0.35763888889050577</v>
      </c>
      <c r="BL302" s="95">
        <f t="shared" si="173"/>
        <v>0.11041666666828356</v>
      </c>
      <c r="BM302" s="95">
        <f t="shared" si="174"/>
        <v>0.15277777777616089</v>
      </c>
      <c r="BN302" s="110"/>
    </row>
    <row r="303" spans="1:66" s="8" customFormat="1" ht="12.75" customHeight="1" x14ac:dyDescent="0.25">
      <c r="A303" s="150">
        <v>264</v>
      </c>
      <c r="B303" s="150">
        <v>29</v>
      </c>
      <c r="C303" s="90">
        <v>15</v>
      </c>
      <c r="D303" s="90" t="s">
        <v>113</v>
      </c>
      <c r="E303" s="91" t="s">
        <v>299</v>
      </c>
      <c r="F303" s="90" t="s">
        <v>7</v>
      </c>
      <c r="G303" s="90" t="s">
        <v>8</v>
      </c>
      <c r="H303" s="90" t="s">
        <v>412</v>
      </c>
      <c r="I303" s="135" t="s">
        <v>451</v>
      </c>
      <c r="J303" s="151">
        <v>45449</v>
      </c>
      <c r="K303" s="135" t="s">
        <v>117</v>
      </c>
      <c r="L303" s="135">
        <v>282000972</v>
      </c>
      <c r="M303" s="151">
        <v>45451</v>
      </c>
      <c r="N303" s="152">
        <v>45451.15625</v>
      </c>
      <c r="O303" s="152">
        <v>45451.15625</v>
      </c>
      <c r="P303" s="152">
        <v>45451.1875</v>
      </c>
      <c r="Q303" s="152">
        <v>45451.354166666664</v>
      </c>
      <c r="R303" s="114" t="s">
        <v>118</v>
      </c>
      <c r="S303" s="114" t="s">
        <v>118</v>
      </c>
      <c r="T303" s="114">
        <v>45451.402777777781</v>
      </c>
      <c r="U303" s="114">
        <v>45451.541666666664</v>
      </c>
      <c r="V303" s="95">
        <f t="shared" si="164"/>
        <v>0.19791666666424135</v>
      </c>
      <c r="W303" s="95">
        <v>0.20833333333333334</v>
      </c>
      <c r="X303" s="95" t="str">
        <f t="shared" si="165"/>
        <v>00:00</v>
      </c>
      <c r="Y303" s="96">
        <v>0</v>
      </c>
      <c r="Z303" s="96">
        <v>58</v>
      </c>
      <c r="AA303" s="96">
        <f t="shared" si="158"/>
        <v>58</v>
      </c>
      <c r="AB303" s="97">
        <f t="shared" si="159"/>
        <v>0</v>
      </c>
      <c r="AC303" s="97">
        <f t="shared" si="160"/>
        <v>3985.43</v>
      </c>
      <c r="AD303" s="98">
        <v>3985.43</v>
      </c>
      <c r="AE303" s="98">
        <v>4037.2</v>
      </c>
      <c r="AF303" s="98">
        <v>4042.2</v>
      </c>
      <c r="AG303" s="98">
        <f t="shared" si="161"/>
        <v>56.769999999999982</v>
      </c>
      <c r="AH303" s="99">
        <v>2025.7</v>
      </c>
      <c r="AI303" s="100">
        <f t="shared" si="162"/>
        <v>8188284.54</v>
      </c>
      <c r="AJ303" s="100">
        <f t="shared" si="175"/>
        <v>0</v>
      </c>
      <c r="AK303" s="100">
        <v>0</v>
      </c>
      <c r="AL303" s="100">
        <v>24140</v>
      </c>
      <c r="AM303" s="100">
        <v>0</v>
      </c>
      <c r="AN303" s="100">
        <v>0</v>
      </c>
      <c r="AO303" s="100">
        <f>IFERROR(AF303*20+(((AJ303/AH303)/2)*20),0)</f>
        <v>80844</v>
      </c>
      <c r="AP303" s="100">
        <f t="shared" si="166"/>
        <v>414664</v>
      </c>
      <c r="AQ303" s="101">
        <f t="shared" si="167"/>
        <v>8707933</v>
      </c>
      <c r="AR303" s="101">
        <v>0</v>
      </c>
      <c r="AS303" s="101">
        <v>0</v>
      </c>
      <c r="AT303" s="102" t="s">
        <v>33</v>
      </c>
      <c r="AU303" s="157">
        <v>3</v>
      </c>
      <c r="AV303" s="100">
        <f>9.34-4.34</f>
        <v>5</v>
      </c>
      <c r="AW303" s="105"/>
      <c r="AX303" s="106">
        <f t="shared" si="168"/>
        <v>1.4044332294295181</v>
      </c>
      <c r="AY303" s="101">
        <f t="shared" si="169"/>
        <v>114999</v>
      </c>
      <c r="AZ303" s="107"/>
      <c r="BA303" s="94">
        <v>45451.15625</v>
      </c>
      <c r="BB303" s="94">
        <v>45451.1875</v>
      </c>
      <c r="BC303" s="94">
        <v>45451.1875</v>
      </c>
      <c r="BD303" s="94">
        <v>45451.35833333333</v>
      </c>
      <c r="BE303" s="95">
        <f t="shared" si="170"/>
        <v>0.20208333332993789</v>
      </c>
      <c r="BF303" s="95">
        <v>1.1805555555555555E-2</v>
      </c>
      <c r="BG303" s="95">
        <v>1.5277777777777777E-2</v>
      </c>
      <c r="BH303" s="95">
        <f t="shared" si="171"/>
        <v>3.125E-2</v>
      </c>
      <c r="BI303" s="95">
        <f t="shared" si="171"/>
        <v>0</v>
      </c>
      <c r="BJ303" s="95">
        <f t="shared" si="171"/>
        <v>0.17083333332993789</v>
      </c>
      <c r="BK303" s="95">
        <f t="shared" si="172"/>
        <v>0.17083333332993789</v>
      </c>
      <c r="BL303" s="95">
        <f t="shared" si="173"/>
        <v>0.14374999999660454</v>
      </c>
      <c r="BM303" s="95" t="str">
        <f t="shared" si="174"/>
        <v>00:00</v>
      </c>
      <c r="BN303" s="110"/>
    </row>
    <row r="304" spans="1:66" s="8" customFormat="1" ht="12.75" customHeight="1" x14ac:dyDescent="0.25">
      <c r="A304" s="150">
        <v>265</v>
      </c>
      <c r="B304" s="150">
        <v>30</v>
      </c>
      <c r="C304" s="90">
        <v>15</v>
      </c>
      <c r="D304" s="90" t="s">
        <v>148</v>
      </c>
      <c r="E304" s="91" t="s">
        <v>425</v>
      </c>
      <c r="F304" s="90" t="s">
        <v>19</v>
      </c>
      <c r="G304" s="90" t="s">
        <v>17</v>
      </c>
      <c r="H304" s="90" t="s">
        <v>150</v>
      </c>
      <c r="I304" s="135" t="s">
        <v>452</v>
      </c>
      <c r="J304" s="151">
        <v>45449</v>
      </c>
      <c r="K304" s="135" t="s">
        <v>122</v>
      </c>
      <c r="L304" s="135">
        <v>461000282</v>
      </c>
      <c r="M304" s="151">
        <v>45452</v>
      </c>
      <c r="N304" s="152">
        <v>45451.46875</v>
      </c>
      <c r="O304" s="152">
        <v>45451.46875</v>
      </c>
      <c r="P304" s="152">
        <v>45451.479166666664</v>
      </c>
      <c r="Q304" s="152">
        <v>45451.645833333336</v>
      </c>
      <c r="R304" s="114" t="s">
        <v>118</v>
      </c>
      <c r="S304" s="114" t="s">
        <v>118</v>
      </c>
      <c r="T304" s="114">
        <v>45451.65625</v>
      </c>
      <c r="U304" s="114">
        <v>45451.743055555555</v>
      </c>
      <c r="V304" s="95">
        <f t="shared" si="164"/>
        <v>0.17708333333575865</v>
      </c>
      <c r="W304" s="95">
        <v>0.20833333333333334</v>
      </c>
      <c r="X304" s="95" t="str">
        <f t="shared" si="165"/>
        <v>00:00</v>
      </c>
      <c r="Y304" s="96">
        <v>9</v>
      </c>
      <c r="Z304" s="96">
        <v>50</v>
      </c>
      <c r="AA304" s="96">
        <f t="shared" si="158"/>
        <v>59</v>
      </c>
      <c r="AB304" s="97">
        <f t="shared" si="159"/>
        <v>613.4430508474577</v>
      </c>
      <c r="AC304" s="97">
        <f t="shared" si="160"/>
        <v>3408.0169491525426</v>
      </c>
      <c r="AD304" s="98">
        <v>4021.46</v>
      </c>
      <c r="AE304" s="98">
        <v>4038.5</v>
      </c>
      <c r="AF304" s="98">
        <v>4054.4</v>
      </c>
      <c r="AG304" s="98">
        <f t="shared" si="161"/>
        <v>32.940000000000055</v>
      </c>
      <c r="AH304" s="99">
        <v>672.5</v>
      </c>
      <c r="AI304" s="100">
        <f t="shared" si="162"/>
        <v>2726584</v>
      </c>
      <c r="AJ304" s="100">
        <f t="shared" si="175"/>
        <v>0</v>
      </c>
      <c r="AK304" s="100">
        <v>0</v>
      </c>
      <c r="AL304" s="100">
        <v>24290</v>
      </c>
      <c r="AM304" s="100">
        <v>0</v>
      </c>
      <c r="AN304" s="100">
        <v>0</v>
      </c>
      <c r="AO304" s="100">
        <v>0</v>
      </c>
      <c r="AP304" s="100">
        <f t="shared" si="166"/>
        <v>137544</v>
      </c>
      <c r="AQ304" s="101">
        <f t="shared" si="167"/>
        <v>2888418</v>
      </c>
      <c r="AR304" s="101">
        <v>0</v>
      </c>
      <c r="AS304" s="101">
        <v>0</v>
      </c>
      <c r="AT304" s="102" t="s">
        <v>33</v>
      </c>
      <c r="AU304" s="157">
        <v>5</v>
      </c>
      <c r="AV304" s="100">
        <f>17.53-14.53</f>
        <v>3.0000000000000018</v>
      </c>
      <c r="AW304" s="105"/>
      <c r="AX304" s="106">
        <f t="shared" si="168"/>
        <v>0.81245067087608658</v>
      </c>
      <c r="AY304" s="101">
        <f t="shared" si="169"/>
        <v>22153</v>
      </c>
      <c r="AZ304" s="107"/>
      <c r="BA304" s="94">
        <v>45451.46875</v>
      </c>
      <c r="BB304" s="94">
        <v>45451.479166666664</v>
      </c>
      <c r="BC304" s="94">
        <v>45451.496527777781</v>
      </c>
      <c r="BD304" s="94">
        <v>45451.618055555555</v>
      </c>
      <c r="BE304" s="95">
        <f t="shared" si="170"/>
        <v>0.14930555555474712</v>
      </c>
      <c r="BF304" s="95">
        <v>1.3194444444444444E-2</v>
      </c>
      <c r="BG304" s="95">
        <v>6.9444444444444441E-3</v>
      </c>
      <c r="BH304" s="95">
        <f t="shared" si="171"/>
        <v>1.0416666664241347E-2</v>
      </c>
      <c r="BI304" s="95">
        <f t="shared" si="171"/>
        <v>1.7361111116770189E-2</v>
      </c>
      <c r="BJ304" s="95">
        <f t="shared" si="171"/>
        <v>0.12152777777373558</v>
      </c>
      <c r="BK304" s="95">
        <f t="shared" si="172"/>
        <v>0.13888888889050577</v>
      </c>
      <c r="BL304" s="95">
        <f t="shared" si="173"/>
        <v>0.11875000000161687</v>
      </c>
      <c r="BM304" s="95" t="str">
        <f t="shared" si="174"/>
        <v>00:00</v>
      </c>
      <c r="BN304" s="110"/>
    </row>
    <row r="305" spans="1:66" s="8" customFormat="1" ht="12.75" customHeight="1" x14ac:dyDescent="0.25">
      <c r="A305" s="150">
        <v>266</v>
      </c>
      <c r="B305" s="150">
        <v>31</v>
      </c>
      <c r="C305" s="90">
        <v>7</v>
      </c>
      <c r="D305" s="90" t="s">
        <v>113</v>
      </c>
      <c r="E305" s="91" t="s">
        <v>313</v>
      </c>
      <c r="F305" s="90" t="s">
        <v>11</v>
      </c>
      <c r="G305" s="90" t="s">
        <v>12</v>
      </c>
      <c r="H305" s="90" t="s">
        <v>115</v>
      </c>
      <c r="I305" s="135" t="s">
        <v>453</v>
      </c>
      <c r="J305" s="151">
        <v>45451</v>
      </c>
      <c r="K305" s="135" t="s">
        <v>117</v>
      </c>
      <c r="L305" s="135">
        <v>282000976</v>
      </c>
      <c r="M305" s="151">
        <v>45452</v>
      </c>
      <c r="N305" s="152">
        <v>45451.635416666664</v>
      </c>
      <c r="O305" s="152">
        <v>45451.635416666664</v>
      </c>
      <c r="P305" s="152">
        <v>45451.666666666664</v>
      </c>
      <c r="Q305" s="152">
        <v>45451.84375</v>
      </c>
      <c r="R305" s="114" t="s">
        <v>118</v>
      </c>
      <c r="S305" s="114" t="s">
        <v>118</v>
      </c>
      <c r="T305" s="114">
        <v>45451.9375</v>
      </c>
      <c r="U305" s="114">
        <v>45452.020833333336</v>
      </c>
      <c r="V305" s="95">
        <f t="shared" si="164"/>
        <v>0.20833333333575865</v>
      </c>
      <c r="W305" s="95">
        <v>0.20833333333333334</v>
      </c>
      <c r="X305" s="95">
        <f t="shared" si="165"/>
        <v>2.4253099528692701E-12</v>
      </c>
      <c r="Y305" s="96">
        <v>0</v>
      </c>
      <c r="Z305" s="96">
        <v>59</v>
      </c>
      <c r="AA305" s="96">
        <f t="shared" si="158"/>
        <v>59</v>
      </c>
      <c r="AB305" s="97">
        <f t="shared" si="159"/>
        <v>0</v>
      </c>
      <c r="AC305" s="97">
        <f t="shared" si="160"/>
        <v>4051.5099999999998</v>
      </c>
      <c r="AD305" s="98">
        <v>4051.51</v>
      </c>
      <c r="AE305" s="98">
        <v>4095.1</v>
      </c>
      <c r="AF305" s="98">
        <v>4104.2</v>
      </c>
      <c r="AG305" s="98">
        <f t="shared" si="161"/>
        <v>52.6899999999996</v>
      </c>
      <c r="AH305" s="99">
        <v>1586.7</v>
      </c>
      <c r="AI305" s="100">
        <f t="shared" si="162"/>
        <v>6512134.1399999997</v>
      </c>
      <c r="AJ305" s="100">
        <f t="shared" si="175"/>
        <v>0</v>
      </c>
      <c r="AK305" s="100">
        <v>0</v>
      </c>
      <c r="AL305" s="100">
        <v>24290</v>
      </c>
      <c r="AM305" s="100">
        <v>0</v>
      </c>
      <c r="AN305" s="100">
        <v>0</v>
      </c>
      <c r="AO305" s="100">
        <f>IFERROR(AF305*20+(((AJ305/AH305)/2)*20),0)</f>
        <v>82084</v>
      </c>
      <c r="AP305" s="100">
        <f t="shared" si="166"/>
        <v>330926</v>
      </c>
      <c r="AQ305" s="101">
        <f t="shared" si="167"/>
        <v>6949435</v>
      </c>
      <c r="AR305" s="101">
        <v>0</v>
      </c>
      <c r="AS305" s="101">
        <v>0</v>
      </c>
      <c r="AT305" s="102" t="s">
        <v>33</v>
      </c>
      <c r="AU305" s="157">
        <v>5</v>
      </c>
      <c r="AV305" s="100">
        <f>11-8</f>
        <v>3</v>
      </c>
      <c r="AW305" s="105"/>
      <c r="AX305" s="106">
        <f t="shared" si="168"/>
        <v>1.2838068320257201</v>
      </c>
      <c r="AY305" s="101">
        <f t="shared" si="169"/>
        <v>83604</v>
      </c>
      <c r="AZ305" s="107"/>
      <c r="BA305" s="94">
        <v>45451.635416666664</v>
      </c>
      <c r="BB305" s="94">
        <v>45451.666666666664</v>
      </c>
      <c r="BC305" s="94">
        <v>45451.666666666664</v>
      </c>
      <c r="BD305" s="94">
        <v>45451.856944444444</v>
      </c>
      <c r="BE305" s="95">
        <f t="shared" si="170"/>
        <v>0.22152777777955635</v>
      </c>
      <c r="BF305" s="95">
        <v>3.472222222222222E-3</v>
      </c>
      <c r="BG305" s="95">
        <v>0.05</v>
      </c>
      <c r="BH305" s="95">
        <f t="shared" si="171"/>
        <v>3.125E-2</v>
      </c>
      <c r="BI305" s="95">
        <f t="shared" si="171"/>
        <v>0</v>
      </c>
      <c r="BJ305" s="95">
        <f t="shared" si="171"/>
        <v>0.19027777777955635</v>
      </c>
      <c r="BK305" s="95">
        <f t="shared" si="172"/>
        <v>0.19027777777955635</v>
      </c>
      <c r="BL305" s="95">
        <f t="shared" si="173"/>
        <v>0.13680555555733415</v>
      </c>
      <c r="BM305" s="95">
        <f t="shared" si="174"/>
        <v>1.3194444446223003E-2</v>
      </c>
      <c r="BN305" s="110"/>
    </row>
    <row r="306" spans="1:66" s="8" customFormat="1" ht="12.75" customHeight="1" x14ac:dyDescent="0.25">
      <c r="A306" s="150">
        <v>267</v>
      </c>
      <c r="B306" s="150">
        <v>32</v>
      </c>
      <c r="C306" s="90">
        <v>16</v>
      </c>
      <c r="D306" s="90" t="s">
        <v>148</v>
      </c>
      <c r="E306" s="91" t="s">
        <v>425</v>
      </c>
      <c r="F306" s="90" t="s">
        <v>19</v>
      </c>
      <c r="G306" s="90" t="s">
        <v>17</v>
      </c>
      <c r="H306" s="90" t="s">
        <v>150</v>
      </c>
      <c r="I306" s="135" t="s">
        <v>454</v>
      </c>
      <c r="J306" s="151">
        <v>45449</v>
      </c>
      <c r="K306" s="135" t="s">
        <v>122</v>
      </c>
      <c r="L306" s="135">
        <v>461000283</v>
      </c>
      <c r="M306" s="151">
        <v>45452</v>
      </c>
      <c r="N306" s="152">
        <v>45451.791666666664</v>
      </c>
      <c r="O306" s="152">
        <v>45451.791666666664</v>
      </c>
      <c r="P306" s="152">
        <v>45451.795138888891</v>
      </c>
      <c r="Q306" s="152">
        <v>45451.989583333336</v>
      </c>
      <c r="R306" s="114" t="s">
        <v>118</v>
      </c>
      <c r="S306" s="114">
        <v>45452.041666666664</v>
      </c>
      <c r="T306" s="114">
        <v>45452.083333333336</v>
      </c>
      <c r="U306" s="114">
        <v>45452.170138888891</v>
      </c>
      <c r="V306" s="95">
        <f t="shared" si="164"/>
        <v>0.19791666667151731</v>
      </c>
      <c r="W306" s="95">
        <v>0.20833333333333334</v>
      </c>
      <c r="X306" s="95" t="str">
        <f t="shared" si="165"/>
        <v>00:00</v>
      </c>
      <c r="Y306" s="96">
        <v>0</v>
      </c>
      <c r="Z306" s="96">
        <v>58</v>
      </c>
      <c r="AA306" s="96">
        <f t="shared" si="158"/>
        <v>58</v>
      </c>
      <c r="AB306" s="97">
        <f t="shared" si="159"/>
        <v>0</v>
      </c>
      <c r="AC306" s="97">
        <f t="shared" si="160"/>
        <v>4022.1299999999997</v>
      </c>
      <c r="AD306" s="98">
        <v>4022.13</v>
      </c>
      <c r="AE306" s="98">
        <v>4028.6</v>
      </c>
      <c r="AF306" s="98">
        <v>4050</v>
      </c>
      <c r="AG306" s="98">
        <f t="shared" si="161"/>
        <v>27.869999999999891</v>
      </c>
      <c r="AH306" s="99">
        <v>672.5</v>
      </c>
      <c r="AI306" s="100">
        <f t="shared" si="162"/>
        <v>2723625</v>
      </c>
      <c r="AJ306" s="100">
        <f t="shared" si="175"/>
        <v>0</v>
      </c>
      <c r="AK306" s="100">
        <v>0</v>
      </c>
      <c r="AL306" s="100">
        <v>24140</v>
      </c>
      <c r="AM306" s="100">
        <v>0</v>
      </c>
      <c r="AN306" s="100">
        <v>0</v>
      </c>
      <c r="AO306" s="100">
        <v>0</v>
      </c>
      <c r="AP306" s="100">
        <f t="shared" si="166"/>
        <v>137389</v>
      </c>
      <c r="AQ306" s="101">
        <f t="shared" si="167"/>
        <v>2885154</v>
      </c>
      <c r="AR306" s="101">
        <v>0</v>
      </c>
      <c r="AS306" s="101">
        <v>0</v>
      </c>
      <c r="AT306" s="102" t="s">
        <v>33</v>
      </c>
      <c r="AU306" s="157">
        <v>11</v>
      </c>
      <c r="AV306" s="100">
        <f>29.37-18.87</f>
        <v>10.5</v>
      </c>
      <c r="AW306" s="105"/>
      <c r="AX306" s="106">
        <f t="shared" si="168"/>
        <v>0.68814814814814551</v>
      </c>
      <c r="AY306" s="101">
        <f t="shared" si="169"/>
        <v>18743</v>
      </c>
      <c r="AZ306" s="107"/>
      <c r="BA306" s="94">
        <v>45451.791666666664</v>
      </c>
      <c r="BB306" s="94">
        <v>45451.795138888891</v>
      </c>
      <c r="BC306" s="94">
        <v>45451.875</v>
      </c>
      <c r="BD306" s="94">
        <v>45452.037499999999</v>
      </c>
      <c r="BE306" s="95">
        <f t="shared" si="170"/>
        <v>0.24583333333430346</v>
      </c>
      <c r="BF306" s="95">
        <v>1.0416666666666666E-2</v>
      </c>
      <c r="BG306" s="95">
        <v>7.0833333333333331E-2</v>
      </c>
      <c r="BH306" s="95">
        <f t="shared" si="171"/>
        <v>3.4722222262644209E-3</v>
      </c>
      <c r="BI306" s="95">
        <f t="shared" si="171"/>
        <v>7.9861111109494232E-2</v>
      </c>
      <c r="BJ306" s="95">
        <f t="shared" si="171"/>
        <v>0.16249999999854481</v>
      </c>
      <c r="BK306" s="95">
        <f t="shared" si="172"/>
        <v>0.24236111110803904</v>
      </c>
      <c r="BL306" s="95">
        <f t="shared" si="173"/>
        <v>0.16111111110803905</v>
      </c>
      <c r="BM306" s="95">
        <f t="shared" si="174"/>
        <v>3.7500000000970118E-2</v>
      </c>
      <c r="BN306" s="110"/>
    </row>
    <row r="307" spans="1:66" s="8" customFormat="1" ht="12.75" customHeight="1" x14ac:dyDescent="0.25">
      <c r="A307" s="150">
        <v>268</v>
      </c>
      <c r="B307" s="150">
        <v>33</v>
      </c>
      <c r="C307" s="90">
        <v>7</v>
      </c>
      <c r="D307" s="90" t="s">
        <v>113</v>
      </c>
      <c r="E307" s="91" t="s">
        <v>366</v>
      </c>
      <c r="F307" s="90" t="s">
        <v>13</v>
      </c>
      <c r="G307" s="90" t="s">
        <v>8</v>
      </c>
      <c r="H307" s="90" t="s">
        <v>131</v>
      </c>
      <c r="I307" s="135" t="s">
        <v>455</v>
      </c>
      <c r="J307" s="151">
        <v>45451</v>
      </c>
      <c r="K307" s="135" t="s">
        <v>117</v>
      </c>
      <c r="L307" s="135">
        <v>282000975</v>
      </c>
      <c r="M307" s="151">
        <v>45452</v>
      </c>
      <c r="N307" s="152">
        <v>45452.0625</v>
      </c>
      <c r="O307" s="152">
        <v>45452.0625</v>
      </c>
      <c r="P307" s="152">
        <v>45452.076388888891</v>
      </c>
      <c r="Q307" s="152">
        <v>45452.260416666664</v>
      </c>
      <c r="R307" s="114" t="s">
        <v>118</v>
      </c>
      <c r="S307" s="114" t="s">
        <v>118</v>
      </c>
      <c r="T307" s="114">
        <v>45452.284722222219</v>
      </c>
      <c r="U307" s="114">
        <v>45452.37222222222</v>
      </c>
      <c r="V307" s="95">
        <f t="shared" si="164"/>
        <v>0.19791666666424135</v>
      </c>
      <c r="W307" s="95">
        <v>0.20833333333333334</v>
      </c>
      <c r="X307" s="95" t="str">
        <f t="shared" si="165"/>
        <v>00:00</v>
      </c>
      <c r="Y307" s="96">
        <v>0</v>
      </c>
      <c r="Z307" s="96">
        <v>58</v>
      </c>
      <c r="AA307" s="96">
        <f t="shared" si="158"/>
        <v>58</v>
      </c>
      <c r="AB307" s="97">
        <f t="shared" si="159"/>
        <v>0</v>
      </c>
      <c r="AC307" s="97">
        <f t="shared" si="160"/>
        <v>3922.6100000000006</v>
      </c>
      <c r="AD307" s="98">
        <v>3922.61</v>
      </c>
      <c r="AE307" s="98">
        <v>4032.1</v>
      </c>
      <c r="AF307" s="98">
        <v>4032.6</v>
      </c>
      <c r="AG307" s="98">
        <f t="shared" si="161"/>
        <v>109.98999999999978</v>
      </c>
      <c r="AH307" s="99">
        <v>1398.7</v>
      </c>
      <c r="AI307" s="100">
        <f t="shared" si="162"/>
        <v>5640397.6200000001</v>
      </c>
      <c r="AJ307" s="100">
        <f t="shared" si="175"/>
        <v>0</v>
      </c>
      <c r="AK307" s="100">
        <v>0</v>
      </c>
      <c r="AL307" s="100">
        <v>0</v>
      </c>
      <c r="AM307" s="100">
        <v>0</v>
      </c>
      <c r="AN307" s="100">
        <v>0</v>
      </c>
      <c r="AO307" s="100">
        <v>0</v>
      </c>
      <c r="AP307" s="100">
        <f t="shared" si="166"/>
        <v>282020</v>
      </c>
      <c r="AQ307" s="101">
        <f t="shared" si="167"/>
        <v>5922418</v>
      </c>
      <c r="AR307" s="101">
        <v>0</v>
      </c>
      <c r="AS307" s="101">
        <v>0</v>
      </c>
      <c r="AT307" s="102" t="s">
        <v>33</v>
      </c>
      <c r="AU307" s="157" t="s">
        <v>118</v>
      </c>
      <c r="AV307" s="100">
        <v>0</v>
      </c>
      <c r="AW307" s="105"/>
      <c r="AX307" s="106">
        <f t="shared" si="168"/>
        <v>2.7275207062441051</v>
      </c>
      <c r="AY307" s="101">
        <f t="shared" si="169"/>
        <v>153844</v>
      </c>
      <c r="AZ307" s="107"/>
      <c r="BA307" s="94">
        <v>45452.0625</v>
      </c>
      <c r="BB307" s="94">
        <v>45452.076388888891</v>
      </c>
      <c r="BC307" s="94">
        <v>45452.076388888891</v>
      </c>
      <c r="BD307" s="94">
        <v>45452.238194444442</v>
      </c>
      <c r="BE307" s="95">
        <f t="shared" si="170"/>
        <v>0.1756944444423425</v>
      </c>
      <c r="BF307" s="95">
        <v>0</v>
      </c>
      <c r="BG307" s="95">
        <v>2.5000000000000001E-2</v>
      </c>
      <c r="BH307" s="95">
        <f t="shared" si="171"/>
        <v>1.3888888890505768E-2</v>
      </c>
      <c r="BI307" s="95">
        <f t="shared" si="171"/>
        <v>0</v>
      </c>
      <c r="BJ307" s="95">
        <f t="shared" si="171"/>
        <v>0.16180555555183673</v>
      </c>
      <c r="BK307" s="95">
        <f t="shared" si="172"/>
        <v>0.16180555555183673</v>
      </c>
      <c r="BL307" s="95">
        <f t="shared" si="173"/>
        <v>0.13680555555183674</v>
      </c>
      <c r="BM307" s="95" t="str">
        <f t="shared" si="174"/>
        <v>00:00</v>
      </c>
      <c r="BN307" s="110"/>
    </row>
    <row r="308" spans="1:66" s="8" customFormat="1" ht="12.75" customHeight="1" x14ac:dyDescent="0.25">
      <c r="A308" s="150">
        <v>269</v>
      </c>
      <c r="B308" s="150">
        <v>34</v>
      </c>
      <c r="C308" s="90">
        <v>1</v>
      </c>
      <c r="D308" s="90" t="s">
        <v>148</v>
      </c>
      <c r="E308" s="91" t="s">
        <v>438</v>
      </c>
      <c r="F308" s="90" t="s">
        <v>16</v>
      </c>
      <c r="G308" s="90" t="s">
        <v>17</v>
      </c>
      <c r="H308" s="90" t="s">
        <v>150</v>
      </c>
      <c r="I308" s="135" t="s">
        <v>456</v>
      </c>
      <c r="J308" s="151">
        <v>45451</v>
      </c>
      <c r="K308" s="135" t="s">
        <v>122</v>
      </c>
      <c r="L308" s="135">
        <v>461000284</v>
      </c>
      <c r="M308" s="151">
        <v>45452</v>
      </c>
      <c r="N308" s="152">
        <v>45452.239583333336</v>
      </c>
      <c r="O308" s="152">
        <v>45452.239583333336</v>
      </c>
      <c r="P308" s="152">
        <v>45452.263888888891</v>
      </c>
      <c r="Q308" s="152">
        <v>45452.4375</v>
      </c>
      <c r="R308" s="114" t="s">
        <v>118</v>
      </c>
      <c r="S308" s="114" t="s">
        <v>118</v>
      </c>
      <c r="T308" s="114">
        <v>45452.444444444445</v>
      </c>
      <c r="U308" s="114">
        <v>45452.539583333331</v>
      </c>
      <c r="V308" s="95">
        <f t="shared" si="164"/>
        <v>0.19791666666424135</v>
      </c>
      <c r="W308" s="95">
        <v>0.20833333333333334</v>
      </c>
      <c r="X308" s="95" t="str">
        <f t="shared" si="165"/>
        <v>00:00</v>
      </c>
      <c r="Y308" s="96">
        <v>0</v>
      </c>
      <c r="Z308" s="96">
        <v>59</v>
      </c>
      <c r="AA308" s="96">
        <f t="shared" si="158"/>
        <v>59</v>
      </c>
      <c r="AB308" s="97">
        <f t="shared" si="159"/>
        <v>0</v>
      </c>
      <c r="AC308" s="97">
        <f t="shared" si="160"/>
        <v>4074.2299999999996</v>
      </c>
      <c r="AD308" s="98">
        <v>4074.23</v>
      </c>
      <c r="AE308" s="98">
        <v>4102.5</v>
      </c>
      <c r="AF308" s="98">
        <v>4114.8</v>
      </c>
      <c r="AG308" s="98">
        <f t="shared" si="161"/>
        <v>40.570000000000164</v>
      </c>
      <c r="AH308" s="99">
        <v>672.5</v>
      </c>
      <c r="AI308" s="100">
        <f t="shared" si="162"/>
        <v>2767203</v>
      </c>
      <c r="AJ308" s="100">
        <f t="shared" si="175"/>
        <v>0</v>
      </c>
      <c r="AK308" s="100">
        <v>0</v>
      </c>
      <c r="AL308" s="100">
        <v>24290</v>
      </c>
      <c r="AM308" s="100">
        <v>0</v>
      </c>
      <c r="AN308" s="100">
        <v>0</v>
      </c>
      <c r="AO308" s="100">
        <v>0</v>
      </c>
      <c r="AP308" s="100">
        <f t="shared" si="166"/>
        <v>139575</v>
      </c>
      <c r="AQ308" s="101">
        <f t="shared" si="167"/>
        <v>2931068</v>
      </c>
      <c r="AR308" s="101">
        <v>0</v>
      </c>
      <c r="AS308" s="101">
        <v>0</v>
      </c>
      <c r="AT308" s="102" t="s">
        <v>33</v>
      </c>
      <c r="AU308" s="157">
        <v>5</v>
      </c>
      <c r="AV308" s="100">
        <f>14.29-11.29</f>
        <v>3</v>
      </c>
      <c r="AW308" s="105"/>
      <c r="AX308" s="106">
        <f t="shared" si="168"/>
        <v>0.98595314474579954</v>
      </c>
      <c r="AY308" s="101">
        <f t="shared" si="169"/>
        <v>27284</v>
      </c>
      <c r="AZ308" s="107"/>
      <c r="BA308" s="94">
        <v>45452.239583333336</v>
      </c>
      <c r="BB308" s="94">
        <v>45452.263888888891</v>
      </c>
      <c r="BC308" s="94">
        <v>45452.270833333336</v>
      </c>
      <c r="BD308" s="94">
        <v>45452.420138888891</v>
      </c>
      <c r="BE308" s="95">
        <f t="shared" si="170"/>
        <v>0.18055555555474712</v>
      </c>
      <c r="BF308" s="95">
        <v>2.7777777777777776E-2</v>
      </c>
      <c r="BG308" s="95">
        <v>0</v>
      </c>
      <c r="BH308" s="95">
        <f t="shared" si="171"/>
        <v>2.4305555554747116E-2</v>
      </c>
      <c r="BI308" s="95">
        <f t="shared" si="171"/>
        <v>6.9444444452528842E-3</v>
      </c>
      <c r="BJ308" s="95">
        <f t="shared" si="171"/>
        <v>0.14930555555474712</v>
      </c>
      <c r="BK308" s="95">
        <f t="shared" si="172"/>
        <v>0.15625</v>
      </c>
      <c r="BL308" s="95">
        <f t="shared" si="173"/>
        <v>0.12847222222222221</v>
      </c>
      <c r="BM308" s="95" t="str">
        <f t="shared" si="174"/>
        <v>00:00</v>
      </c>
      <c r="BN308" s="110"/>
    </row>
    <row r="309" spans="1:66" s="8" customFormat="1" ht="12.75" customHeight="1" x14ac:dyDescent="0.25">
      <c r="A309" s="150">
        <v>270</v>
      </c>
      <c r="B309" s="150">
        <v>35</v>
      </c>
      <c r="C309" s="90">
        <v>2</v>
      </c>
      <c r="D309" s="90" t="s">
        <v>148</v>
      </c>
      <c r="E309" s="91" t="s">
        <v>438</v>
      </c>
      <c r="F309" s="90" t="s">
        <v>16</v>
      </c>
      <c r="G309" s="90" t="s">
        <v>17</v>
      </c>
      <c r="H309" s="90" t="s">
        <v>150</v>
      </c>
      <c r="I309" s="135" t="s">
        <v>457</v>
      </c>
      <c r="J309" s="151">
        <v>45451</v>
      </c>
      <c r="K309" s="135" t="s">
        <v>117</v>
      </c>
      <c r="L309" s="135">
        <v>461000285</v>
      </c>
      <c r="M309" s="151">
        <v>45452</v>
      </c>
      <c r="N309" s="152">
        <v>45452.416666666664</v>
      </c>
      <c r="O309" s="152">
        <v>45452.416666666664</v>
      </c>
      <c r="P309" s="152">
        <v>45452.420138888891</v>
      </c>
      <c r="Q309" s="152">
        <v>45452.625</v>
      </c>
      <c r="R309" s="114" t="s">
        <v>118</v>
      </c>
      <c r="S309" s="114" t="s">
        <v>118</v>
      </c>
      <c r="T309" s="114">
        <v>45452.625</v>
      </c>
      <c r="U309" s="114">
        <v>45452.678472222222</v>
      </c>
      <c r="V309" s="95">
        <f t="shared" si="164"/>
        <v>0.20833333333575865</v>
      </c>
      <c r="W309" s="95">
        <v>0.20833333333333334</v>
      </c>
      <c r="X309" s="95">
        <f t="shared" si="165"/>
        <v>2.4253099528692701E-12</v>
      </c>
      <c r="Y309" s="96">
        <v>2</v>
      </c>
      <c r="Z309" s="96">
        <v>56</v>
      </c>
      <c r="AA309" s="96">
        <f t="shared" si="158"/>
        <v>58</v>
      </c>
      <c r="AB309" s="97">
        <f t="shared" si="159"/>
        <v>137.13379310344828</v>
      </c>
      <c r="AC309" s="97">
        <f t="shared" si="160"/>
        <v>3839.7462068965519</v>
      </c>
      <c r="AD309" s="98">
        <v>3976.88</v>
      </c>
      <c r="AE309" s="98">
        <v>4033.7</v>
      </c>
      <c r="AF309" s="98">
        <v>4038</v>
      </c>
      <c r="AG309" s="98">
        <f t="shared" si="161"/>
        <v>61.119999999999891</v>
      </c>
      <c r="AH309" s="99">
        <v>672.5</v>
      </c>
      <c r="AI309" s="100">
        <f t="shared" si="162"/>
        <v>2715555</v>
      </c>
      <c r="AJ309" s="100">
        <f t="shared" si="175"/>
        <v>0</v>
      </c>
      <c r="AK309" s="100">
        <v>0</v>
      </c>
      <c r="AL309" s="100">
        <v>0</v>
      </c>
      <c r="AM309" s="100">
        <v>0</v>
      </c>
      <c r="AN309" s="100">
        <v>0</v>
      </c>
      <c r="AO309" s="100">
        <v>0</v>
      </c>
      <c r="AP309" s="100">
        <f t="shared" si="166"/>
        <v>135778</v>
      </c>
      <c r="AQ309" s="101">
        <f t="shared" si="167"/>
        <v>2851333</v>
      </c>
      <c r="AR309" s="101">
        <v>0</v>
      </c>
      <c r="AS309" s="101">
        <v>0</v>
      </c>
      <c r="AT309" s="102" t="s">
        <v>33</v>
      </c>
      <c r="AU309" s="157" t="s">
        <v>118</v>
      </c>
      <c r="AV309" s="100">
        <v>0</v>
      </c>
      <c r="AW309" s="105"/>
      <c r="AX309" s="106">
        <f t="shared" si="168"/>
        <v>1.5136206042595317</v>
      </c>
      <c r="AY309" s="101">
        <f t="shared" si="169"/>
        <v>41104</v>
      </c>
      <c r="AZ309" s="107"/>
      <c r="BA309" s="94">
        <v>45452.416666666664</v>
      </c>
      <c r="BB309" s="94">
        <v>45452.420138888891</v>
      </c>
      <c r="BC309" s="94">
        <v>45452.427083333336</v>
      </c>
      <c r="BD309" s="94">
        <v>45452.59097222222</v>
      </c>
      <c r="BE309" s="95">
        <f t="shared" si="170"/>
        <v>0.17430555555620231</v>
      </c>
      <c r="BF309" s="95">
        <v>0</v>
      </c>
      <c r="BG309" s="95">
        <v>3.6111111111111108E-2</v>
      </c>
      <c r="BH309" s="95">
        <f t="shared" si="171"/>
        <v>3.4722222262644209E-3</v>
      </c>
      <c r="BI309" s="95">
        <f t="shared" si="171"/>
        <v>6.9444444452528842E-3</v>
      </c>
      <c r="BJ309" s="95">
        <f t="shared" si="171"/>
        <v>0.163888888884685</v>
      </c>
      <c r="BK309" s="95">
        <f t="shared" si="172"/>
        <v>0.17083333332993789</v>
      </c>
      <c r="BL309" s="95">
        <f t="shared" si="173"/>
        <v>0.13472222221882679</v>
      </c>
      <c r="BM309" s="95" t="str">
        <f t="shared" si="174"/>
        <v>00:00</v>
      </c>
      <c r="BN309" s="110"/>
    </row>
    <row r="310" spans="1:66" s="8" customFormat="1" ht="12.75" customHeight="1" x14ac:dyDescent="0.25">
      <c r="A310" s="150">
        <v>271</v>
      </c>
      <c r="B310" s="150">
        <v>36</v>
      </c>
      <c r="C310" s="90">
        <v>3</v>
      </c>
      <c r="D310" s="90" t="s">
        <v>148</v>
      </c>
      <c r="E310" s="91" t="s">
        <v>438</v>
      </c>
      <c r="F310" s="90" t="s">
        <v>16</v>
      </c>
      <c r="G310" s="90" t="s">
        <v>17</v>
      </c>
      <c r="H310" s="90" t="s">
        <v>150</v>
      </c>
      <c r="I310" s="135" t="s">
        <v>458</v>
      </c>
      <c r="J310" s="151">
        <v>45451</v>
      </c>
      <c r="K310" s="135" t="s">
        <v>122</v>
      </c>
      <c r="L310" s="135">
        <v>461000286</v>
      </c>
      <c r="M310" s="151">
        <v>45453</v>
      </c>
      <c r="N310" s="152">
        <v>45452.583333333336</v>
      </c>
      <c r="O310" s="152">
        <v>45452.583333333336</v>
      </c>
      <c r="P310" s="152">
        <v>45452.586805555555</v>
      </c>
      <c r="Q310" s="152">
        <v>45452.770833333336</v>
      </c>
      <c r="R310" s="114" t="s">
        <v>118</v>
      </c>
      <c r="S310" s="114" t="s">
        <v>118</v>
      </c>
      <c r="T310" s="114">
        <v>45452.791666666664</v>
      </c>
      <c r="U310" s="114">
        <v>45452.805555555555</v>
      </c>
      <c r="V310" s="95">
        <f t="shared" si="164"/>
        <v>0.1875</v>
      </c>
      <c r="W310" s="95">
        <v>0.20833333333333334</v>
      </c>
      <c r="X310" s="95" t="str">
        <f t="shared" si="165"/>
        <v>00:00</v>
      </c>
      <c r="Y310" s="96">
        <v>0</v>
      </c>
      <c r="Z310" s="96">
        <v>59</v>
      </c>
      <c r="AA310" s="96">
        <f t="shared" si="158"/>
        <v>59</v>
      </c>
      <c r="AB310" s="97">
        <f t="shared" si="159"/>
        <v>0</v>
      </c>
      <c r="AC310" s="97">
        <f t="shared" si="160"/>
        <v>4080.4</v>
      </c>
      <c r="AD310" s="98">
        <v>4080.4</v>
      </c>
      <c r="AE310" s="98">
        <v>4087.6</v>
      </c>
      <c r="AF310" s="98">
        <v>4111</v>
      </c>
      <c r="AG310" s="98">
        <f t="shared" si="161"/>
        <v>30.599999999999909</v>
      </c>
      <c r="AH310" s="99">
        <v>672.5</v>
      </c>
      <c r="AI310" s="100">
        <f t="shared" si="162"/>
        <v>2764647.5</v>
      </c>
      <c r="AJ310" s="161">
        <v>6531.84</v>
      </c>
      <c r="AK310" s="100">
        <v>0</v>
      </c>
      <c r="AL310" s="100">
        <v>24290</v>
      </c>
      <c r="AM310" s="100">
        <v>0</v>
      </c>
      <c r="AN310" s="100">
        <v>0</v>
      </c>
      <c r="AO310" s="100">
        <v>0</v>
      </c>
      <c r="AP310" s="100">
        <f t="shared" si="166"/>
        <v>139774</v>
      </c>
      <c r="AQ310" s="101">
        <f t="shared" si="167"/>
        <v>2935244</v>
      </c>
      <c r="AR310" s="101">
        <v>0</v>
      </c>
      <c r="AS310" s="101">
        <v>0</v>
      </c>
      <c r="AT310" s="102" t="s">
        <v>33</v>
      </c>
      <c r="AU310" s="157" t="s">
        <v>118</v>
      </c>
      <c r="AV310" s="100">
        <v>0</v>
      </c>
      <c r="AW310" s="105"/>
      <c r="AX310" s="106">
        <f t="shared" si="168"/>
        <v>0.74434444174166647</v>
      </c>
      <c r="AY310" s="101">
        <f t="shared" si="169"/>
        <v>20579</v>
      </c>
      <c r="AZ310" s="107"/>
      <c r="BA310" s="94">
        <v>45452.583333333336</v>
      </c>
      <c r="BB310" s="94">
        <v>45452.586805555555</v>
      </c>
      <c r="BC310" s="94">
        <v>45452.595833333333</v>
      </c>
      <c r="BD310" s="94">
        <v>45452.729166666664</v>
      </c>
      <c r="BE310" s="95">
        <f t="shared" si="170"/>
        <v>0.14583333332848269</v>
      </c>
      <c r="BF310" s="95">
        <v>7.6388888888888886E-3</v>
      </c>
      <c r="BG310" s="95">
        <v>4.1666666666666666E-3</v>
      </c>
      <c r="BH310" s="95">
        <f t="shared" si="171"/>
        <v>3.4722222189884633E-3</v>
      </c>
      <c r="BI310" s="95">
        <f t="shared" si="171"/>
        <v>9.0277777781011537E-3</v>
      </c>
      <c r="BJ310" s="95">
        <f t="shared" si="171"/>
        <v>0.13333333333139308</v>
      </c>
      <c r="BK310" s="95">
        <f t="shared" si="172"/>
        <v>0.14236111110949423</v>
      </c>
      <c r="BL310" s="95">
        <f t="shared" si="173"/>
        <v>0.13055555555393866</v>
      </c>
      <c r="BM310" s="95" t="str">
        <f t="shared" si="174"/>
        <v>00:00</v>
      </c>
      <c r="BN310" s="110" t="s">
        <v>459</v>
      </c>
    </row>
    <row r="311" spans="1:66" s="8" customFormat="1" ht="12.75" customHeight="1" x14ac:dyDescent="0.25">
      <c r="A311" s="150">
        <v>272</v>
      </c>
      <c r="B311" s="150">
        <v>37</v>
      </c>
      <c r="C311" s="90">
        <v>8</v>
      </c>
      <c r="D311" s="90" t="s">
        <v>113</v>
      </c>
      <c r="E311" s="91" t="s">
        <v>313</v>
      </c>
      <c r="F311" s="90" t="s">
        <v>11</v>
      </c>
      <c r="G311" s="90" t="s">
        <v>12</v>
      </c>
      <c r="H311" s="90" t="s">
        <v>115</v>
      </c>
      <c r="I311" s="135" t="s">
        <v>460</v>
      </c>
      <c r="J311" s="151">
        <v>45452</v>
      </c>
      <c r="K311" s="135" t="s">
        <v>117</v>
      </c>
      <c r="L311" s="135">
        <v>282000978</v>
      </c>
      <c r="M311" s="151">
        <v>45454</v>
      </c>
      <c r="N311" s="152">
        <v>45452.708333333336</v>
      </c>
      <c r="O311" s="152">
        <v>45452.708333333336</v>
      </c>
      <c r="P311" s="152">
        <v>45452.71875</v>
      </c>
      <c r="Q311" s="152">
        <v>45452.916666666664</v>
      </c>
      <c r="R311" s="114" t="s">
        <v>118</v>
      </c>
      <c r="S311" s="114">
        <v>45453.072916666664</v>
      </c>
      <c r="T311" s="114">
        <v>45453.041666666664</v>
      </c>
      <c r="U311" s="114">
        <v>45453.055555555555</v>
      </c>
      <c r="V311" s="95">
        <f t="shared" si="164"/>
        <v>0.20833333332848269</v>
      </c>
      <c r="W311" s="95">
        <v>0.20833333333333334</v>
      </c>
      <c r="X311" s="95" t="str">
        <f t="shared" si="165"/>
        <v>00:00</v>
      </c>
      <c r="Y311" s="96">
        <v>4</v>
      </c>
      <c r="Z311" s="96">
        <v>55</v>
      </c>
      <c r="AA311" s="96">
        <f t="shared" si="158"/>
        <v>59</v>
      </c>
      <c r="AB311" s="97">
        <f t="shared" si="159"/>
        <v>268.91864406779661</v>
      </c>
      <c r="AC311" s="97">
        <f t="shared" si="160"/>
        <v>3697.6313559322034</v>
      </c>
      <c r="AD311" s="98">
        <v>3966.55</v>
      </c>
      <c r="AE311" s="98">
        <v>4093.3</v>
      </c>
      <c r="AF311" s="98">
        <v>4099.3999999999996</v>
      </c>
      <c r="AG311" s="98">
        <f t="shared" si="161"/>
        <v>132.84999999999945</v>
      </c>
      <c r="AH311" s="99">
        <v>1586.7</v>
      </c>
      <c r="AI311" s="100">
        <f t="shared" si="162"/>
        <v>6504517.9799999995</v>
      </c>
      <c r="AJ311" s="100">
        <f>(8.6*AH311)*2</f>
        <v>27291.239999999998</v>
      </c>
      <c r="AK311" s="100">
        <v>0</v>
      </c>
      <c r="AL311" s="100">
        <v>0</v>
      </c>
      <c r="AM311" s="100">
        <v>0</v>
      </c>
      <c r="AN311" s="100">
        <v>0</v>
      </c>
      <c r="AO311" s="100">
        <f>IFERROR(AF311*20+(((AJ311/AH311)/2)*20),0)</f>
        <v>82160</v>
      </c>
      <c r="AP311" s="100">
        <f t="shared" si="166"/>
        <v>330699</v>
      </c>
      <c r="AQ311" s="101">
        <f t="shared" si="167"/>
        <v>6944669</v>
      </c>
      <c r="AR311" s="101">
        <v>0</v>
      </c>
      <c r="AS311" s="101">
        <v>0</v>
      </c>
      <c r="AT311" s="102" t="s">
        <v>33</v>
      </c>
      <c r="AU311" s="157" t="s">
        <v>118</v>
      </c>
      <c r="AV311" s="100">
        <v>0</v>
      </c>
      <c r="AW311" s="105"/>
      <c r="AX311" s="106">
        <f t="shared" si="168"/>
        <v>3.240718153876164</v>
      </c>
      <c r="AY311" s="101">
        <f t="shared" si="169"/>
        <v>210794</v>
      </c>
      <c r="AZ311" s="107"/>
      <c r="BA311" s="94">
        <v>45452.708333333336</v>
      </c>
      <c r="BB311" s="94">
        <v>45452.71875</v>
      </c>
      <c r="BC311" s="94">
        <v>45452.784722222219</v>
      </c>
      <c r="BD311" s="94">
        <v>45453.051388888889</v>
      </c>
      <c r="BE311" s="95">
        <f t="shared" si="170"/>
        <v>0.34305555555329192</v>
      </c>
      <c r="BF311" s="95">
        <v>7.3611111111111113E-2</v>
      </c>
      <c r="BG311" s="95">
        <v>7.9861111111111105E-2</v>
      </c>
      <c r="BH311" s="95">
        <f t="shared" si="171"/>
        <v>1.0416666664241347E-2</v>
      </c>
      <c r="BI311" s="95">
        <f t="shared" si="171"/>
        <v>6.5972222218988463E-2</v>
      </c>
      <c r="BJ311" s="95">
        <f t="shared" si="171"/>
        <v>0.26666666667006211</v>
      </c>
      <c r="BK311" s="95">
        <f t="shared" si="172"/>
        <v>0.33263888888905058</v>
      </c>
      <c r="BL311" s="95">
        <f t="shared" si="173"/>
        <v>0.17916666666682834</v>
      </c>
      <c r="BM311" s="95">
        <f t="shared" si="174"/>
        <v>0.13472222221995858</v>
      </c>
      <c r="BN311" s="110" t="s">
        <v>459</v>
      </c>
    </row>
    <row r="312" spans="1:66" s="8" customFormat="1" ht="12.75" customHeight="1" x14ac:dyDescent="0.25">
      <c r="A312" s="150">
        <v>273</v>
      </c>
      <c r="B312" s="150">
        <v>38</v>
      </c>
      <c r="C312" s="90">
        <v>4</v>
      </c>
      <c r="D312" s="90" t="s">
        <v>148</v>
      </c>
      <c r="E312" s="91" t="s">
        <v>438</v>
      </c>
      <c r="F312" s="90" t="s">
        <v>16</v>
      </c>
      <c r="G312" s="90" t="s">
        <v>17</v>
      </c>
      <c r="H312" s="90" t="s">
        <v>150</v>
      </c>
      <c r="I312" s="135" t="s">
        <v>461</v>
      </c>
      <c r="J312" s="151">
        <v>45451</v>
      </c>
      <c r="K312" s="135" t="s">
        <v>122</v>
      </c>
      <c r="L312" s="135">
        <v>461000287</v>
      </c>
      <c r="M312" s="151">
        <v>45453</v>
      </c>
      <c r="N312" s="152">
        <v>45453.010416666664</v>
      </c>
      <c r="O312" s="152">
        <v>45453.010416666664</v>
      </c>
      <c r="P312" s="152">
        <v>45453.013888888891</v>
      </c>
      <c r="Q312" s="152">
        <v>45453.21875</v>
      </c>
      <c r="R312" s="114" t="s">
        <v>118</v>
      </c>
      <c r="S312" s="114" t="s">
        <v>118</v>
      </c>
      <c r="T312" s="114">
        <v>45453.270833333336</v>
      </c>
      <c r="U312" s="114">
        <v>45453.284722222219</v>
      </c>
      <c r="V312" s="95">
        <f t="shared" si="164"/>
        <v>0.20833333333575865</v>
      </c>
      <c r="W312" s="95">
        <v>0.20833333333333334</v>
      </c>
      <c r="X312" s="95">
        <f t="shared" si="165"/>
        <v>2.4253099528692701E-12</v>
      </c>
      <c r="Y312" s="96">
        <v>0</v>
      </c>
      <c r="Z312" s="96">
        <v>59</v>
      </c>
      <c r="AA312" s="96">
        <f t="shared" si="158"/>
        <v>59</v>
      </c>
      <c r="AB312" s="97">
        <f t="shared" si="159"/>
        <v>0</v>
      </c>
      <c r="AC312" s="97">
        <f t="shared" si="160"/>
        <v>4043.5899999999997</v>
      </c>
      <c r="AD312" s="98">
        <v>4043.59</v>
      </c>
      <c r="AE312" s="98">
        <v>4106</v>
      </c>
      <c r="AF312" s="98">
        <v>4115.3999999999996</v>
      </c>
      <c r="AG312" s="98">
        <f t="shared" si="161"/>
        <v>71.809999999999491</v>
      </c>
      <c r="AH312" s="99">
        <v>672.5</v>
      </c>
      <c r="AI312" s="100">
        <f t="shared" si="162"/>
        <v>2767606.4999999995</v>
      </c>
      <c r="AJ312" s="100">
        <f>(1.2*AH312)*2</f>
        <v>1614</v>
      </c>
      <c r="AK312" s="100">
        <v>0</v>
      </c>
      <c r="AL312" s="100">
        <v>0</v>
      </c>
      <c r="AM312" s="100">
        <v>0</v>
      </c>
      <c r="AN312" s="100">
        <v>0</v>
      </c>
      <c r="AO312" s="100">
        <v>0</v>
      </c>
      <c r="AP312" s="100">
        <f t="shared" si="166"/>
        <v>138462</v>
      </c>
      <c r="AQ312" s="101">
        <f t="shared" si="167"/>
        <v>2907683</v>
      </c>
      <c r="AR312" s="101">
        <v>0</v>
      </c>
      <c r="AS312" s="101">
        <v>0</v>
      </c>
      <c r="AT312" s="102" t="s">
        <v>33</v>
      </c>
      <c r="AU312" s="157" t="s">
        <v>118</v>
      </c>
      <c r="AV312" s="100">
        <v>0</v>
      </c>
      <c r="AW312" s="105"/>
      <c r="AX312" s="106">
        <f t="shared" si="168"/>
        <v>1.7449093648247922</v>
      </c>
      <c r="AY312" s="101">
        <f t="shared" si="169"/>
        <v>48293</v>
      </c>
      <c r="AZ312" s="107"/>
      <c r="BA312" s="94">
        <v>45453.010416666664</v>
      </c>
      <c r="BB312" s="94">
        <v>45453.013888888891</v>
      </c>
      <c r="BC312" s="94">
        <v>45453.072222222225</v>
      </c>
      <c r="BD312" s="94">
        <v>45453.21875</v>
      </c>
      <c r="BE312" s="95">
        <f t="shared" si="170"/>
        <v>0.20833333333575865</v>
      </c>
      <c r="BF312" s="95">
        <v>2.9861111111111113E-2</v>
      </c>
      <c r="BG312" s="95">
        <v>4.4444444444444446E-2</v>
      </c>
      <c r="BH312" s="95">
        <f t="shared" si="171"/>
        <v>3.4722222262644209E-3</v>
      </c>
      <c r="BI312" s="95">
        <f t="shared" si="171"/>
        <v>5.8333333334303461E-2</v>
      </c>
      <c r="BJ312" s="95">
        <f t="shared" si="171"/>
        <v>0.14652777777519077</v>
      </c>
      <c r="BK312" s="95">
        <f t="shared" si="172"/>
        <v>0.20486111110949423</v>
      </c>
      <c r="BL312" s="95">
        <f t="shared" si="173"/>
        <v>0.13055555555393866</v>
      </c>
      <c r="BM312" s="95">
        <f t="shared" si="174"/>
        <v>2.4253099528692701E-12</v>
      </c>
      <c r="BN312" s="110" t="s">
        <v>459</v>
      </c>
    </row>
    <row r="313" spans="1:66" s="8" customFormat="1" ht="12.75" customHeight="1" x14ac:dyDescent="0.25">
      <c r="A313" s="150">
        <v>274</v>
      </c>
      <c r="B313" s="150">
        <v>39</v>
      </c>
      <c r="C313" s="90">
        <v>5</v>
      </c>
      <c r="D313" s="90" t="s">
        <v>148</v>
      </c>
      <c r="E313" s="91" t="s">
        <v>438</v>
      </c>
      <c r="F313" s="90" t="s">
        <v>16</v>
      </c>
      <c r="G313" s="90" t="s">
        <v>17</v>
      </c>
      <c r="H313" s="90" t="s">
        <v>150</v>
      </c>
      <c r="I313" s="135" t="s">
        <v>462</v>
      </c>
      <c r="J313" s="151">
        <v>45451</v>
      </c>
      <c r="K313" s="135" t="s">
        <v>117</v>
      </c>
      <c r="L313" s="135">
        <v>461000288</v>
      </c>
      <c r="M313" s="151">
        <v>45454</v>
      </c>
      <c r="N313" s="152">
        <v>45453.197916666664</v>
      </c>
      <c r="O313" s="152">
        <v>45453.197916666664</v>
      </c>
      <c r="P313" s="152">
        <v>45453.243055555555</v>
      </c>
      <c r="Q313" s="152">
        <v>45453.40625</v>
      </c>
      <c r="R313" s="114" t="s">
        <v>118</v>
      </c>
      <c r="S313" s="114" t="s">
        <v>118</v>
      </c>
      <c r="T313" s="114">
        <v>45453.479166666664</v>
      </c>
      <c r="U313" s="114">
        <v>45453.493055555555</v>
      </c>
      <c r="V313" s="95">
        <f t="shared" si="164"/>
        <v>0.20833333333575865</v>
      </c>
      <c r="W313" s="95">
        <v>0.20833333333333334</v>
      </c>
      <c r="X313" s="95">
        <f t="shared" si="165"/>
        <v>2.4253099528692701E-12</v>
      </c>
      <c r="Y313" s="96">
        <v>0</v>
      </c>
      <c r="Z313" s="96">
        <v>57</v>
      </c>
      <c r="AA313" s="96">
        <f t="shared" si="158"/>
        <v>57</v>
      </c>
      <c r="AB313" s="97">
        <f t="shared" si="159"/>
        <v>0</v>
      </c>
      <c r="AC313" s="97">
        <f t="shared" si="160"/>
        <v>3825.72</v>
      </c>
      <c r="AD313" s="98">
        <v>3825.72</v>
      </c>
      <c r="AE313" s="98">
        <v>3965.4</v>
      </c>
      <c r="AF313" s="98">
        <v>3969.4</v>
      </c>
      <c r="AG313" s="98">
        <f t="shared" si="161"/>
        <v>143.68000000000029</v>
      </c>
      <c r="AH313" s="99">
        <v>672.5</v>
      </c>
      <c r="AI313" s="100">
        <f t="shared" si="162"/>
        <v>2669421.5</v>
      </c>
      <c r="AJ313" s="100">
        <f>(1.2*AH313)*2</f>
        <v>1614</v>
      </c>
      <c r="AK313" s="100">
        <v>0</v>
      </c>
      <c r="AL313" s="100">
        <v>0</v>
      </c>
      <c r="AM313" s="100">
        <v>0</v>
      </c>
      <c r="AN313" s="100">
        <v>0</v>
      </c>
      <c r="AO313" s="100">
        <v>0</v>
      </c>
      <c r="AP313" s="100">
        <f t="shared" si="166"/>
        <v>133552</v>
      </c>
      <c r="AQ313" s="101">
        <f t="shared" si="167"/>
        <v>2804588</v>
      </c>
      <c r="AR313" s="101">
        <v>0</v>
      </c>
      <c r="AS313" s="101">
        <v>0</v>
      </c>
      <c r="AT313" s="102" t="s">
        <v>33</v>
      </c>
      <c r="AU313" s="157" t="s">
        <v>118</v>
      </c>
      <c r="AV313" s="100">
        <v>0</v>
      </c>
      <c r="AW313" s="105"/>
      <c r="AX313" s="106">
        <f t="shared" si="168"/>
        <v>3.6196906333450971</v>
      </c>
      <c r="AY313" s="101">
        <f t="shared" si="169"/>
        <v>96625</v>
      </c>
      <c r="AZ313" s="107"/>
      <c r="BA313" s="94">
        <v>45453.197916666664</v>
      </c>
      <c r="BB313" s="94">
        <v>45453.201388888891</v>
      </c>
      <c r="BC313" s="94">
        <v>45453.21875</v>
      </c>
      <c r="BD313" s="94">
        <v>45453.363888888889</v>
      </c>
      <c r="BE313" s="95">
        <f t="shared" si="170"/>
        <v>0.16597222222480923</v>
      </c>
      <c r="BF313" s="95">
        <v>2.2222222222222223E-2</v>
      </c>
      <c r="BG313" s="95">
        <v>1.7361111111111112E-2</v>
      </c>
      <c r="BH313" s="95">
        <f t="shared" si="171"/>
        <v>3.4722222262644209E-3</v>
      </c>
      <c r="BI313" s="95">
        <f t="shared" si="171"/>
        <v>1.7361111109494232E-2</v>
      </c>
      <c r="BJ313" s="95">
        <f t="shared" si="171"/>
        <v>0.14513888888905058</v>
      </c>
      <c r="BK313" s="95">
        <f t="shared" si="172"/>
        <v>0.16249999999854481</v>
      </c>
      <c r="BL313" s="95">
        <f t="shared" si="173"/>
        <v>0.12291666666521148</v>
      </c>
      <c r="BM313" s="95" t="str">
        <f t="shared" si="174"/>
        <v>00:00</v>
      </c>
      <c r="BN313" s="110" t="s">
        <v>463</v>
      </c>
    </row>
    <row r="314" spans="1:66" s="8" customFormat="1" ht="12.75" customHeight="1" x14ac:dyDescent="0.25">
      <c r="A314" s="150">
        <v>275</v>
      </c>
      <c r="B314" s="150">
        <v>40</v>
      </c>
      <c r="C314" s="90">
        <v>6</v>
      </c>
      <c r="D314" s="90" t="s">
        <v>148</v>
      </c>
      <c r="E314" s="91" t="s">
        <v>438</v>
      </c>
      <c r="F314" s="90" t="s">
        <v>16</v>
      </c>
      <c r="G314" s="90" t="s">
        <v>17</v>
      </c>
      <c r="H314" s="90" t="s">
        <v>150</v>
      </c>
      <c r="I314" s="135" t="s">
        <v>464</v>
      </c>
      <c r="J314" s="151">
        <v>45451</v>
      </c>
      <c r="K314" s="135" t="s">
        <v>122</v>
      </c>
      <c r="L314" s="135">
        <v>461000289</v>
      </c>
      <c r="M314" s="151">
        <v>45454</v>
      </c>
      <c r="N314" s="152">
        <v>45453.625</v>
      </c>
      <c r="O314" s="152">
        <v>45453.625</v>
      </c>
      <c r="P314" s="152">
        <v>45453.631944444445</v>
      </c>
      <c r="Q314" s="152">
        <v>45453.833333333336</v>
      </c>
      <c r="R314" s="114" t="s">
        <v>118</v>
      </c>
      <c r="S314" s="114" t="s">
        <v>118</v>
      </c>
      <c r="T314" s="114">
        <v>45453.916666666664</v>
      </c>
      <c r="U314" s="114">
        <v>45453.930555555555</v>
      </c>
      <c r="V314" s="95">
        <f t="shared" si="164"/>
        <v>0.20833333333575865</v>
      </c>
      <c r="W314" s="95">
        <v>0.20833333333333334</v>
      </c>
      <c r="X314" s="95">
        <f t="shared" si="165"/>
        <v>2.4253099528692701E-12</v>
      </c>
      <c r="Y314" s="96">
        <v>0</v>
      </c>
      <c r="Z314" s="96">
        <v>59</v>
      </c>
      <c r="AA314" s="96">
        <f t="shared" si="158"/>
        <v>59</v>
      </c>
      <c r="AB314" s="97">
        <f t="shared" si="159"/>
        <v>0</v>
      </c>
      <c r="AC314" s="97">
        <f t="shared" si="160"/>
        <v>4096.8</v>
      </c>
      <c r="AD314" s="98">
        <v>4096.8</v>
      </c>
      <c r="AE314" s="98">
        <v>4096.8</v>
      </c>
      <c r="AF314" s="98">
        <v>4096.8</v>
      </c>
      <c r="AG314" s="98">
        <f t="shared" si="161"/>
        <v>0</v>
      </c>
      <c r="AH314" s="99">
        <v>672.5</v>
      </c>
      <c r="AI314" s="100">
        <f t="shared" si="162"/>
        <v>2755098</v>
      </c>
      <c r="AJ314" s="100">
        <f>(0*AH314)*2</f>
        <v>0</v>
      </c>
      <c r="AK314" s="100">
        <v>0</v>
      </c>
      <c r="AL314" s="100">
        <v>0</v>
      </c>
      <c r="AM314" s="100">
        <v>0</v>
      </c>
      <c r="AN314" s="100">
        <v>0</v>
      </c>
      <c r="AO314" s="100">
        <v>0</v>
      </c>
      <c r="AP314" s="100">
        <f t="shared" si="166"/>
        <v>137755</v>
      </c>
      <c r="AQ314" s="101">
        <f t="shared" si="167"/>
        <v>2892853</v>
      </c>
      <c r="AR314" s="101">
        <v>0</v>
      </c>
      <c r="AS314" s="101">
        <v>0</v>
      </c>
      <c r="AT314" s="102" t="s">
        <v>33</v>
      </c>
      <c r="AU314" s="157" t="s">
        <v>118</v>
      </c>
      <c r="AV314" s="100">
        <v>0</v>
      </c>
      <c r="AW314" s="105"/>
      <c r="AX314" s="106">
        <f t="shared" si="168"/>
        <v>0</v>
      </c>
      <c r="AY314" s="101">
        <f t="shared" si="169"/>
        <v>0</v>
      </c>
      <c r="AZ314" s="107"/>
      <c r="BA314" s="94">
        <v>45453.625</v>
      </c>
      <c r="BB314" s="94">
        <v>45453.631944444445</v>
      </c>
      <c r="BC314" s="94">
        <v>45453.683333333334</v>
      </c>
      <c r="BD314" s="94">
        <v>45453.817361111112</v>
      </c>
      <c r="BE314" s="95">
        <f t="shared" si="170"/>
        <v>0.19236111111240461</v>
      </c>
      <c r="BF314" s="95">
        <v>5.1388888888888887E-2</v>
      </c>
      <c r="BG314" s="95">
        <v>0</v>
      </c>
      <c r="BH314" s="95">
        <f t="shared" si="171"/>
        <v>6.9444444452528842E-3</v>
      </c>
      <c r="BI314" s="95">
        <f t="shared" si="171"/>
        <v>5.1388888889050577E-2</v>
      </c>
      <c r="BJ314" s="95">
        <f t="shared" si="171"/>
        <v>0.13402777777810115</v>
      </c>
      <c r="BK314" s="95">
        <f t="shared" si="172"/>
        <v>0.18541666666715173</v>
      </c>
      <c r="BL314" s="95">
        <f t="shared" si="173"/>
        <v>0.13402777777826286</v>
      </c>
      <c r="BM314" s="95" t="str">
        <f t="shared" si="174"/>
        <v>00:00</v>
      </c>
      <c r="BN314" s="110" t="s">
        <v>463</v>
      </c>
    </row>
    <row r="315" spans="1:66" s="8" customFormat="1" ht="12.75" customHeight="1" x14ac:dyDescent="0.25">
      <c r="A315" s="150">
        <v>276</v>
      </c>
      <c r="B315" s="150">
        <v>41</v>
      </c>
      <c r="C315" s="90">
        <v>7</v>
      </c>
      <c r="D315" s="90" t="s">
        <v>148</v>
      </c>
      <c r="E315" s="91" t="s">
        <v>438</v>
      </c>
      <c r="F315" s="90" t="s">
        <v>16</v>
      </c>
      <c r="G315" s="90" t="s">
        <v>17</v>
      </c>
      <c r="H315" s="90" t="s">
        <v>150</v>
      </c>
      <c r="I315" s="135" t="s">
        <v>465</v>
      </c>
      <c r="J315" s="151">
        <v>45453</v>
      </c>
      <c r="K315" s="135" t="s">
        <v>117</v>
      </c>
      <c r="L315" s="135">
        <v>461000290</v>
      </c>
      <c r="M315" s="151">
        <v>45454</v>
      </c>
      <c r="N315" s="152">
        <v>45453.75</v>
      </c>
      <c r="O315" s="152">
        <v>45453.75</v>
      </c>
      <c r="P315" s="152">
        <v>45453.753472222219</v>
      </c>
      <c r="Q315" s="152">
        <v>45453.958333333336</v>
      </c>
      <c r="R315" s="114" t="s">
        <v>118</v>
      </c>
      <c r="S315" s="114" t="s">
        <v>118</v>
      </c>
      <c r="T315" s="114">
        <v>45454.041666666664</v>
      </c>
      <c r="U315" s="114">
        <v>45454.289583333331</v>
      </c>
      <c r="V315" s="95">
        <f t="shared" si="164"/>
        <v>0.20833333333575865</v>
      </c>
      <c r="W315" s="95">
        <v>0.20833333333333334</v>
      </c>
      <c r="X315" s="95">
        <f t="shared" si="165"/>
        <v>2.4253099528692701E-12</v>
      </c>
      <c r="Y315" s="96">
        <v>0</v>
      </c>
      <c r="Z315" s="96">
        <v>58</v>
      </c>
      <c r="AA315" s="96">
        <f t="shared" si="158"/>
        <v>58</v>
      </c>
      <c r="AB315" s="97">
        <f t="shared" si="159"/>
        <v>0</v>
      </c>
      <c r="AC315" s="97">
        <f t="shared" si="160"/>
        <v>3954.7100000000005</v>
      </c>
      <c r="AD315" s="98">
        <v>3954.71</v>
      </c>
      <c r="AE315" s="98">
        <v>4021.5</v>
      </c>
      <c r="AF315" s="98">
        <v>4028.2</v>
      </c>
      <c r="AG315" s="98">
        <f t="shared" si="161"/>
        <v>73.489999999999782</v>
      </c>
      <c r="AH315" s="99">
        <v>672.5</v>
      </c>
      <c r="AI315" s="100">
        <f t="shared" si="162"/>
        <v>2708964.5</v>
      </c>
      <c r="AJ315" s="100">
        <f>(2.8*AH315)*2</f>
        <v>3765.9999999999995</v>
      </c>
      <c r="AK315" s="100">
        <v>0</v>
      </c>
      <c r="AL315" s="100">
        <v>0</v>
      </c>
      <c r="AM315" s="100">
        <v>0</v>
      </c>
      <c r="AN315" s="100">
        <v>0</v>
      </c>
      <c r="AO315" s="100">
        <v>0</v>
      </c>
      <c r="AP315" s="100">
        <f t="shared" si="166"/>
        <v>135637</v>
      </c>
      <c r="AQ315" s="101">
        <f t="shared" si="167"/>
        <v>2848368</v>
      </c>
      <c r="AR315" s="101">
        <v>0</v>
      </c>
      <c r="AS315" s="101">
        <v>0</v>
      </c>
      <c r="AT315" s="102" t="s">
        <v>33</v>
      </c>
      <c r="AU315" s="157" t="s">
        <v>118</v>
      </c>
      <c r="AV315" s="100">
        <v>0</v>
      </c>
      <c r="AW315" s="105"/>
      <c r="AX315" s="106">
        <f t="shared" si="168"/>
        <v>1.8243880641477532</v>
      </c>
      <c r="AY315" s="101">
        <f t="shared" si="169"/>
        <v>49423</v>
      </c>
      <c r="AZ315" s="107"/>
      <c r="BA315" s="94">
        <v>45453.75</v>
      </c>
      <c r="BB315" s="94">
        <v>45453.753472222219</v>
      </c>
      <c r="BC315" s="94">
        <v>45453.85</v>
      </c>
      <c r="BD315" s="94">
        <v>45453.96875</v>
      </c>
      <c r="BE315" s="95">
        <f t="shared" si="170"/>
        <v>0.21875</v>
      </c>
      <c r="BF315" s="95">
        <v>1.3194444444444444E-2</v>
      </c>
      <c r="BG315" s="95">
        <v>8.9583333333333334E-2</v>
      </c>
      <c r="BH315" s="95">
        <f t="shared" si="171"/>
        <v>3.4722222189884633E-3</v>
      </c>
      <c r="BI315" s="95">
        <f t="shared" si="171"/>
        <v>9.6527777779556345E-2</v>
      </c>
      <c r="BJ315" s="95">
        <f t="shared" si="171"/>
        <v>0.11875000000145519</v>
      </c>
      <c r="BK315" s="95">
        <f t="shared" si="172"/>
        <v>0.21527777778101154</v>
      </c>
      <c r="BL315" s="95">
        <f t="shared" si="173"/>
        <v>0.11250000000323375</v>
      </c>
      <c r="BM315" s="95">
        <f t="shared" si="174"/>
        <v>1.0416666666666657E-2</v>
      </c>
      <c r="BN315" s="110" t="s">
        <v>463</v>
      </c>
    </row>
    <row r="316" spans="1:66" s="8" customFormat="1" ht="12.75" customHeight="1" x14ac:dyDescent="0.25">
      <c r="A316" s="150">
        <v>277</v>
      </c>
      <c r="B316" s="150">
        <v>42</v>
      </c>
      <c r="C316" s="90">
        <v>8</v>
      </c>
      <c r="D316" s="90" t="s">
        <v>148</v>
      </c>
      <c r="E316" s="91" t="s">
        <v>438</v>
      </c>
      <c r="F316" s="90" t="s">
        <v>16</v>
      </c>
      <c r="G316" s="90" t="s">
        <v>17</v>
      </c>
      <c r="H316" s="90" t="s">
        <v>150</v>
      </c>
      <c r="I316" s="135" t="s">
        <v>466</v>
      </c>
      <c r="J316" s="151">
        <v>45453</v>
      </c>
      <c r="K316" s="135" t="s">
        <v>122</v>
      </c>
      <c r="L316" s="135">
        <v>461000291</v>
      </c>
      <c r="M316" s="151">
        <v>45454</v>
      </c>
      <c r="N316" s="152">
        <v>45454.239583333336</v>
      </c>
      <c r="O316" s="152">
        <v>45454.239583333336</v>
      </c>
      <c r="P316" s="152">
        <v>45454.25</v>
      </c>
      <c r="Q316" s="152">
        <v>45454.4375</v>
      </c>
      <c r="R316" s="114" t="s">
        <v>118</v>
      </c>
      <c r="S316" s="114" t="s">
        <v>118</v>
      </c>
      <c r="T316" s="114">
        <v>45454.493055555555</v>
      </c>
      <c r="U316" s="114">
        <v>45454.709027777775</v>
      </c>
      <c r="V316" s="95">
        <f t="shared" si="164"/>
        <v>0.19791666666424135</v>
      </c>
      <c r="W316" s="95">
        <v>0.20833333333333334</v>
      </c>
      <c r="X316" s="95" t="str">
        <f t="shared" si="165"/>
        <v>00:00</v>
      </c>
      <c r="Y316" s="96">
        <v>0</v>
      </c>
      <c r="Z316" s="96">
        <v>58</v>
      </c>
      <c r="AA316" s="96">
        <f t="shared" si="158"/>
        <v>58</v>
      </c>
      <c r="AB316" s="97">
        <f t="shared" si="159"/>
        <v>0</v>
      </c>
      <c r="AC316" s="97">
        <f t="shared" si="160"/>
        <v>3970.03</v>
      </c>
      <c r="AD316" s="98">
        <v>3970.03</v>
      </c>
      <c r="AE316" s="98">
        <v>4028.6</v>
      </c>
      <c r="AF316" s="98">
        <v>4038.6</v>
      </c>
      <c r="AG316" s="98">
        <f t="shared" si="161"/>
        <v>68.569999999999709</v>
      </c>
      <c r="AH316" s="99">
        <v>672.5</v>
      </c>
      <c r="AI316" s="100">
        <f t="shared" si="162"/>
        <v>2715958.5</v>
      </c>
      <c r="AJ316" s="100">
        <f>(5.6*AH316)*2</f>
        <v>7531.9999999999991</v>
      </c>
      <c r="AK316" s="100">
        <v>0</v>
      </c>
      <c r="AL316" s="100">
        <v>0</v>
      </c>
      <c r="AM316" s="100">
        <v>0</v>
      </c>
      <c r="AN316" s="100">
        <v>0</v>
      </c>
      <c r="AO316" s="100">
        <v>0</v>
      </c>
      <c r="AP316" s="100">
        <f t="shared" si="166"/>
        <v>136175</v>
      </c>
      <c r="AQ316" s="101">
        <f t="shared" si="167"/>
        <v>2859666</v>
      </c>
      <c r="AR316" s="101">
        <v>0</v>
      </c>
      <c r="AS316" s="101">
        <v>0</v>
      </c>
      <c r="AT316" s="102" t="s">
        <v>33</v>
      </c>
      <c r="AU316" s="157" t="s">
        <v>118</v>
      </c>
      <c r="AV316" s="100">
        <v>0</v>
      </c>
      <c r="AW316" s="105"/>
      <c r="AX316" s="106">
        <f t="shared" si="168"/>
        <v>1.6978655969890486</v>
      </c>
      <c r="AY316" s="101">
        <f t="shared" si="169"/>
        <v>46114</v>
      </c>
      <c r="AZ316" s="107"/>
      <c r="BA316" s="94">
        <v>45454.239583333336</v>
      </c>
      <c r="BB316" s="94">
        <v>45454.25</v>
      </c>
      <c r="BC316" s="94">
        <v>45454.25</v>
      </c>
      <c r="BD316" s="94">
        <v>45454.381944444445</v>
      </c>
      <c r="BE316" s="95">
        <f t="shared" si="170"/>
        <v>0.14236111110949423</v>
      </c>
      <c r="BF316" s="95">
        <v>1.3888888888888888E-2</v>
      </c>
      <c r="BG316" s="95">
        <v>0</v>
      </c>
      <c r="BH316" s="95">
        <f t="shared" si="171"/>
        <v>1.0416666664241347E-2</v>
      </c>
      <c r="BI316" s="95">
        <f t="shared" si="171"/>
        <v>0</v>
      </c>
      <c r="BJ316" s="95">
        <f t="shared" si="171"/>
        <v>0.13194444444525288</v>
      </c>
      <c r="BK316" s="95">
        <f t="shared" si="172"/>
        <v>0.13194444444525288</v>
      </c>
      <c r="BL316" s="95">
        <f t="shared" si="173"/>
        <v>0.11805555555636399</v>
      </c>
      <c r="BM316" s="95" t="str">
        <f t="shared" si="174"/>
        <v>00:00</v>
      </c>
      <c r="BN316" s="110" t="s">
        <v>463</v>
      </c>
    </row>
    <row r="317" spans="1:66" s="8" customFormat="1" ht="12.75" customHeight="1" x14ac:dyDescent="0.25">
      <c r="A317" s="150">
        <v>278</v>
      </c>
      <c r="B317" s="150">
        <v>43</v>
      </c>
      <c r="C317" s="90">
        <v>16</v>
      </c>
      <c r="D317" s="90" t="s">
        <v>113</v>
      </c>
      <c r="E317" s="91" t="s">
        <v>319</v>
      </c>
      <c r="F317" s="90" t="s">
        <v>32</v>
      </c>
      <c r="G317" s="90" t="s">
        <v>8</v>
      </c>
      <c r="H317" s="90" t="s">
        <v>146</v>
      </c>
      <c r="I317" s="135" t="s">
        <v>467</v>
      </c>
      <c r="J317" s="151">
        <v>45453</v>
      </c>
      <c r="K317" s="135" t="s">
        <v>117</v>
      </c>
      <c r="L317" s="135">
        <v>261005752</v>
      </c>
      <c r="M317" s="151">
        <v>45456</v>
      </c>
      <c r="N317" s="152">
        <v>45454.364583333336</v>
      </c>
      <c r="O317" s="152">
        <v>45454.364583333336</v>
      </c>
      <c r="P317" s="152">
        <v>45454.368055555555</v>
      </c>
      <c r="Q317" s="152">
        <v>45454.572916666664</v>
      </c>
      <c r="R317" s="114" t="s">
        <v>118</v>
      </c>
      <c r="S317" s="114">
        <v>45454.614583333336</v>
      </c>
      <c r="T317" s="160">
        <v>45454.65625</v>
      </c>
      <c r="U317" s="160">
        <v>45454.65625</v>
      </c>
      <c r="V317" s="95">
        <f t="shared" si="164"/>
        <v>0.20833333332848269</v>
      </c>
      <c r="W317" s="95">
        <v>0.20833333333333334</v>
      </c>
      <c r="X317" s="95" t="str">
        <f t="shared" si="165"/>
        <v>00:00</v>
      </c>
      <c r="Y317" s="96">
        <v>0</v>
      </c>
      <c r="Z317" s="96">
        <v>58</v>
      </c>
      <c r="AA317" s="96">
        <f t="shared" si="158"/>
        <v>58</v>
      </c>
      <c r="AB317" s="97">
        <f t="shared" si="159"/>
        <v>0</v>
      </c>
      <c r="AC317" s="97">
        <f t="shared" si="160"/>
        <v>4005.2</v>
      </c>
      <c r="AD317" s="98">
        <v>4005.2</v>
      </c>
      <c r="AE317" s="98">
        <v>4057.6</v>
      </c>
      <c r="AF317" s="98">
        <v>4064.6</v>
      </c>
      <c r="AG317" s="98">
        <f t="shared" si="161"/>
        <v>59.400000000000091</v>
      </c>
      <c r="AH317" s="99">
        <v>1398.7</v>
      </c>
      <c r="AI317" s="100">
        <f t="shared" si="162"/>
        <v>5685156.0200000005</v>
      </c>
      <c r="AJ317" s="100">
        <f>(8.4*AH317)*2</f>
        <v>23498.160000000003</v>
      </c>
      <c r="AK317" s="100">
        <v>0</v>
      </c>
      <c r="AL317" s="100">
        <v>0</v>
      </c>
      <c r="AM317" s="100">
        <v>0</v>
      </c>
      <c r="AN317" s="100">
        <v>0</v>
      </c>
      <c r="AO317" s="100">
        <v>0</v>
      </c>
      <c r="AP317" s="100">
        <f t="shared" si="166"/>
        <v>285433</v>
      </c>
      <c r="AQ317" s="101">
        <f t="shared" si="167"/>
        <v>5994088</v>
      </c>
      <c r="AR317" s="101">
        <v>0</v>
      </c>
      <c r="AS317" s="101">
        <v>0</v>
      </c>
      <c r="AT317" s="102" t="s">
        <v>33</v>
      </c>
      <c r="AU317" s="157" t="s">
        <v>118</v>
      </c>
      <c r="AV317" s="100">
        <v>0</v>
      </c>
      <c r="AW317" s="105"/>
      <c r="AX317" s="106">
        <f t="shared" si="168"/>
        <v>1.461398415588252</v>
      </c>
      <c r="AY317" s="101">
        <f t="shared" si="169"/>
        <v>83083</v>
      </c>
      <c r="AZ317" s="107"/>
      <c r="BA317" s="94">
        <v>45454.364583333336</v>
      </c>
      <c r="BB317" s="94">
        <v>45454.368055555555</v>
      </c>
      <c r="BC317" s="94">
        <v>45454.409722222219</v>
      </c>
      <c r="BD317" s="94">
        <v>45454.613888888889</v>
      </c>
      <c r="BE317" s="95">
        <f t="shared" si="170"/>
        <v>0.24930555555329192</v>
      </c>
      <c r="BF317" s="95">
        <v>4.1666666666666664E-2</v>
      </c>
      <c r="BG317" s="95">
        <v>7.7083333333333337E-2</v>
      </c>
      <c r="BH317" s="95">
        <f t="shared" si="171"/>
        <v>3.4722222189884633E-3</v>
      </c>
      <c r="BI317" s="95">
        <f t="shared" si="171"/>
        <v>4.1666666664241347E-2</v>
      </c>
      <c r="BJ317" s="95">
        <f t="shared" si="171"/>
        <v>0.20416666667006211</v>
      </c>
      <c r="BK317" s="95">
        <f t="shared" si="172"/>
        <v>0.24583333333430346</v>
      </c>
      <c r="BL317" s="95">
        <f t="shared" si="173"/>
        <v>0.12708333333430347</v>
      </c>
      <c r="BM317" s="95">
        <f t="shared" si="174"/>
        <v>4.0972222219958582E-2</v>
      </c>
      <c r="BN317" s="110" t="s">
        <v>463</v>
      </c>
    </row>
    <row r="318" spans="1:66" s="8" customFormat="1" ht="12.75" customHeight="1" x14ac:dyDescent="0.25">
      <c r="A318" s="153">
        <v>279</v>
      </c>
      <c r="B318" s="150">
        <v>44</v>
      </c>
      <c r="C318" s="90">
        <v>17</v>
      </c>
      <c r="D318" s="90" t="s">
        <v>113</v>
      </c>
      <c r="E318" s="91" t="s">
        <v>319</v>
      </c>
      <c r="F318" s="90" t="s">
        <v>32</v>
      </c>
      <c r="G318" s="90" t="s">
        <v>8</v>
      </c>
      <c r="H318" s="90" t="s">
        <v>273</v>
      </c>
      <c r="I318" s="135" t="s">
        <v>468</v>
      </c>
      <c r="J318" s="151">
        <v>45455</v>
      </c>
      <c r="K318" s="135" t="s">
        <v>122</v>
      </c>
      <c r="L318" s="135">
        <v>262009789</v>
      </c>
      <c r="M318" s="151">
        <v>45455</v>
      </c>
      <c r="N318" s="152">
        <v>45455.319444444445</v>
      </c>
      <c r="O318" s="152">
        <v>45455.319444444445</v>
      </c>
      <c r="P318" s="152">
        <v>45455.326388888891</v>
      </c>
      <c r="Q318" s="152">
        <v>45455.5</v>
      </c>
      <c r="R318" s="114" t="s">
        <v>118</v>
      </c>
      <c r="S318" s="114" t="s">
        <v>118</v>
      </c>
      <c r="T318" s="160">
        <v>45455.541666666664</v>
      </c>
      <c r="U318" s="160">
        <v>45455.541666666664</v>
      </c>
      <c r="V318" s="95">
        <f t="shared" si="164"/>
        <v>0.18055555555474712</v>
      </c>
      <c r="W318" s="95">
        <v>0.20833333333333334</v>
      </c>
      <c r="X318" s="95" t="str">
        <f t="shared" si="165"/>
        <v>00:00</v>
      </c>
      <c r="Y318" s="96">
        <v>0</v>
      </c>
      <c r="Z318" s="96">
        <v>59</v>
      </c>
      <c r="AA318" s="96">
        <f t="shared" si="158"/>
        <v>59</v>
      </c>
      <c r="AB318" s="97">
        <f t="shared" si="159"/>
        <v>0</v>
      </c>
      <c r="AC318" s="97">
        <f t="shared" si="160"/>
        <v>3898.23</v>
      </c>
      <c r="AD318" s="98">
        <v>3898.23</v>
      </c>
      <c r="AE318" s="98">
        <v>4102.5</v>
      </c>
      <c r="AF318" s="98">
        <v>4102.6000000000004</v>
      </c>
      <c r="AG318" s="98">
        <f t="shared" si="161"/>
        <v>204.37000000000035</v>
      </c>
      <c r="AH318" s="99">
        <v>1435.6</v>
      </c>
      <c r="AI318" s="100">
        <f t="shared" si="162"/>
        <v>5889692.5600000005</v>
      </c>
      <c r="AJ318" s="100">
        <f>(0*AH318)*2</f>
        <v>0</v>
      </c>
      <c r="AK318" s="100">
        <v>0</v>
      </c>
      <c r="AL318" s="100">
        <v>0</v>
      </c>
      <c r="AM318" s="100">
        <v>0</v>
      </c>
      <c r="AN318" s="100">
        <v>0</v>
      </c>
      <c r="AO318" s="100">
        <v>0</v>
      </c>
      <c r="AP318" s="100">
        <f t="shared" si="166"/>
        <v>294485</v>
      </c>
      <c r="AQ318" s="101">
        <f t="shared" si="167"/>
        <v>6184178</v>
      </c>
      <c r="AR318" s="101">
        <v>0</v>
      </c>
      <c r="AS318" s="101">
        <v>0</v>
      </c>
      <c r="AT318" s="102" t="s">
        <v>33</v>
      </c>
      <c r="AU318" s="157" t="s">
        <v>118</v>
      </c>
      <c r="AV318" s="100">
        <v>0</v>
      </c>
      <c r="AW318" s="105"/>
      <c r="AX318" s="106">
        <f t="shared" si="168"/>
        <v>4.9814751620923392</v>
      </c>
      <c r="AY318" s="101">
        <f t="shared" si="169"/>
        <v>293394</v>
      </c>
      <c r="AZ318" s="107"/>
      <c r="BA318" s="94">
        <v>45455.319444444445</v>
      </c>
      <c r="BB318" s="94">
        <v>45455.326388888891</v>
      </c>
      <c r="BC318" s="94">
        <v>45455.334722222222</v>
      </c>
      <c r="BD318" s="94">
        <v>45455.46597222222</v>
      </c>
      <c r="BE318" s="95">
        <f t="shared" si="170"/>
        <v>0.14652777777519077</v>
      </c>
      <c r="BF318" s="95">
        <v>8.3333333333333332E-3</v>
      </c>
      <c r="BG318" s="95">
        <v>0</v>
      </c>
      <c r="BH318" s="95">
        <f t="shared" si="171"/>
        <v>6.9444444452528842E-3</v>
      </c>
      <c r="BI318" s="95">
        <f t="shared" si="171"/>
        <v>8.333333331393078E-3</v>
      </c>
      <c r="BJ318" s="95">
        <f t="shared" si="171"/>
        <v>0.13124999999854481</v>
      </c>
      <c r="BK318" s="95">
        <f t="shared" si="172"/>
        <v>0.13958333332993789</v>
      </c>
      <c r="BL318" s="95">
        <f t="shared" si="173"/>
        <v>0.13124999999660455</v>
      </c>
      <c r="BM318" s="95" t="str">
        <f t="shared" si="174"/>
        <v>00:00</v>
      </c>
      <c r="BN318" s="110" t="s">
        <v>463</v>
      </c>
    </row>
    <row r="319" spans="1:66" s="8" customFormat="1" ht="12.75" customHeight="1" x14ac:dyDescent="0.25">
      <c r="A319" s="115">
        <v>281</v>
      </c>
      <c r="B319" s="115">
        <v>46</v>
      </c>
      <c r="C319" s="111">
        <v>18</v>
      </c>
      <c r="D319" s="90" t="s">
        <v>113</v>
      </c>
      <c r="E319" s="91" t="s">
        <v>319</v>
      </c>
      <c r="F319" s="115" t="s">
        <v>32</v>
      </c>
      <c r="G319" s="90" t="s">
        <v>8</v>
      </c>
      <c r="H319" s="115" t="s">
        <v>120</v>
      </c>
      <c r="I319" s="135" t="s">
        <v>469</v>
      </c>
      <c r="J319" s="151">
        <v>45456</v>
      </c>
      <c r="K319" s="135" t="s">
        <v>117</v>
      </c>
      <c r="L319" s="135">
        <v>261005757</v>
      </c>
      <c r="M319" s="151">
        <v>45457</v>
      </c>
      <c r="N319" s="118">
        <v>45456.840277777781</v>
      </c>
      <c r="O319" s="118">
        <v>45456.840277777781</v>
      </c>
      <c r="P319" s="118">
        <v>45456.888888888891</v>
      </c>
      <c r="Q319" s="118">
        <v>45457.048611111109</v>
      </c>
      <c r="R319" s="118" t="s">
        <v>118</v>
      </c>
      <c r="S319" s="118" t="s">
        <v>470</v>
      </c>
      <c r="T319" s="162">
        <v>45457.208333333328</v>
      </c>
      <c r="U319" s="162">
        <v>45457.208333333328</v>
      </c>
      <c r="V319" s="164">
        <f>+Q319-O319</f>
        <v>0.20833333332848269</v>
      </c>
      <c r="W319" s="164">
        <v>0.20833333333333334</v>
      </c>
      <c r="X319" s="164" t="str">
        <f>IF(VALUE(V319)&lt;=VALUE("05:00"),"00:00",VALUE(V319)-VALUE("05:00"))</f>
        <v>00:00</v>
      </c>
      <c r="Y319" s="96">
        <v>0</v>
      </c>
      <c r="Z319" s="96">
        <v>35</v>
      </c>
      <c r="AA319" s="96">
        <f t="shared" si="158"/>
        <v>35</v>
      </c>
      <c r="AB319" s="97">
        <f t="shared" si="159"/>
        <v>0</v>
      </c>
      <c r="AC319" s="97">
        <f t="shared" si="160"/>
        <v>2406.4699999999998</v>
      </c>
      <c r="AD319" s="98">
        <v>2406.4699999999998</v>
      </c>
      <c r="AE319" s="98">
        <v>2448</v>
      </c>
      <c r="AF319" s="98">
        <v>2456.8000000000002</v>
      </c>
      <c r="AG319" s="98">
        <f t="shared" si="161"/>
        <v>50.330000000000382</v>
      </c>
      <c r="AH319" s="99">
        <v>1398.7</v>
      </c>
      <c r="AI319" s="100">
        <f t="shared" si="162"/>
        <v>3436326.16</v>
      </c>
      <c r="AJ319" s="100">
        <f>(3.6*AH319)*2</f>
        <v>10070.640000000001</v>
      </c>
      <c r="AK319" s="100">
        <v>0</v>
      </c>
      <c r="AL319" s="100">
        <v>0</v>
      </c>
      <c r="AM319" s="100">
        <v>0</v>
      </c>
      <c r="AN319" s="100">
        <v>0</v>
      </c>
      <c r="AO319" s="100">
        <v>0</v>
      </c>
      <c r="AP319" s="100">
        <f t="shared" si="166"/>
        <v>172320</v>
      </c>
      <c r="AQ319" s="101">
        <f t="shared" si="167"/>
        <v>3618717</v>
      </c>
      <c r="AR319" s="101">
        <v>0</v>
      </c>
      <c r="AS319" s="101">
        <v>0</v>
      </c>
      <c r="AT319" s="102" t="s">
        <v>33</v>
      </c>
      <c r="AU319" s="158" t="s">
        <v>118</v>
      </c>
      <c r="AV319" s="158" t="s">
        <v>118</v>
      </c>
      <c r="AW319" s="105"/>
      <c r="AX319" s="140">
        <f>IFERROR(((AG319+AG320)/(AF319+AF320))*100, "")</f>
        <v>2.395833333333341</v>
      </c>
      <c r="AY319" s="141">
        <f>ROUNDUP((AG319+AG320)*AH319,0)</f>
        <v>138654</v>
      </c>
      <c r="AZ319" s="107"/>
      <c r="BA319" s="118">
        <v>45456.840277777781</v>
      </c>
      <c r="BB319" s="118">
        <v>45456.888888888891</v>
      </c>
      <c r="BC319" s="118">
        <v>45456.895833333336</v>
      </c>
      <c r="BD319" s="118">
        <v>45457.180555555555</v>
      </c>
      <c r="BE319" s="119">
        <f>+BD319-BA319</f>
        <v>0.34027777777373558</v>
      </c>
      <c r="BF319" s="119">
        <v>4.3055555555555555E-2</v>
      </c>
      <c r="BG319" s="119">
        <v>0.11874999999999999</v>
      </c>
      <c r="BH319" s="119">
        <f>+BB319-BA319</f>
        <v>4.8611111109494232E-2</v>
      </c>
      <c r="BI319" s="119">
        <f>+BC319-BB319</f>
        <v>6.9444444452528842E-3</v>
      </c>
      <c r="BJ319" s="119">
        <f>+BD319-BC319</f>
        <v>0.28472222221898846</v>
      </c>
      <c r="BK319" s="119">
        <f>+BI319+BJ319</f>
        <v>0.29166666666424135</v>
      </c>
      <c r="BL319" s="119">
        <f>+BE319-BH319-BF319-BG319</f>
        <v>0.12986111110868578</v>
      </c>
      <c r="BM319" s="119">
        <f>IF(VALUE(BE319)&lt;=VALUE("05:00"),"00:00",VALUE(BE319)-VALUE("05:00"))</f>
        <v>0.13194444444040224</v>
      </c>
      <c r="BN319" s="110" t="s">
        <v>463</v>
      </c>
    </row>
    <row r="320" spans="1:66" s="8" customFormat="1" ht="12.75" customHeight="1" x14ac:dyDescent="0.25">
      <c r="A320" s="122"/>
      <c r="B320" s="122"/>
      <c r="C320" s="111">
        <v>15</v>
      </c>
      <c r="D320" s="90" t="s">
        <v>113</v>
      </c>
      <c r="E320" s="91" t="s">
        <v>296</v>
      </c>
      <c r="F320" s="122"/>
      <c r="G320" s="90" t="s">
        <v>15</v>
      </c>
      <c r="H320" s="122"/>
      <c r="I320" s="135" t="s">
        <v>471</v>
      </c>
      <c r="J320" s="151">
        <v>45456</v>
      </c>
      <c r="K320" s="135" t="s">
        <v>117</v>
      </c>
      <c r="L320" s="135">
        <v>261005758</v>
      </c>
      <c r="M320" s="151">
        <v>45457</v>
      </c>
      <c r="N320" s="125"/>
      <c r="O320" s="125"/>
      <c r="P320" s="125"/>
      <c r="Q320" s="125"/>
      <c r="R320" s="125"/>
      <c r="S320" s="125"/>
      <c r="T320" s="163"/>
      <c r="U320" s="163"/>
      <c r="V320" s="164"/>
      <c r="W320" s="164"/>
      <c r="X320" s="164"/>
      <c r="Y320" s="96">
        <v>0</v>
      </c>
      <c r="Z320" s="96">
        <v>24</v>
      </c>
      <c r="AA320" s="96">
        <f t="shared" si="158"/>
        <v>24</v>
      </c>
      <c r="AB320" s="97">
        <f t="shared" si="159"/>
        <v>0</v>
      </c>
      <c r="AC320" s="97">
        <f t="shared" si="160"/>
        <v>1632</v>
      </c>
      <c r="AD320" s="98">
        <v>1632</v>
      </c>
      <c r="AE320" s="98">
        <v>1680</v>
      </c>
      <c r="AF320" s="98">
        <v>1680.8</v>
      </c>
      <c r="AG320" s="98">
        <f t="shared" si="161"/>
        <v>48.799999999999955</v>
      </c>
      <c r="AH320" s="99">
        <v>1398.7</v>
      </c>
      <c r="AI320" s="100">
        <f t="shared" si="162"/>
        <v>2350934.96</v>
      </c>
      <c r="AJ320" s="100">
        <f>(0*AH320)*2</f>
        <v>0</v>
      </c>
      <c r="AK320" s="100">
        <v>0</v>
      </c>
      <c r="AL320" s="100">
        <v>0</v>
      </c>
      <c r="AM320" s="100">
        <v>0</v>
      </c>
      <c r="AN320" s="100">
        <v>0</v>
      </c>
      <c r="AO320" s="100">
        <v>0</v>
      </c>
      <c r="AP320" s="100">
        <f t="shared" si="166"/>
        <v>117547</v>
      </c>
      <c r="AQ320" s="101">
        <f t="shared" si="167"/>
        <v>2468482</v>
      </c>
      <c r="AR320" s="101">
        <v>0</v>
      </c>
      <c r="AS320" s="101">
        <v>0</v>
      </c>
      <c r="AT320" s="102" t="s">
        <v>33</v>
      </c>
      <c r="AU320" s="159"/>
      <c r="AV320" s="159"/>
      <c r="AW320" s="105"/>
      <c r="AX320" s="144"/>
      <c r="AY320" s="145"/>
      <c r="AZ320" s="107"/>
      <c r="BA320" s="125"/>
      <c r="BB320" s="125"/>
      <c r="BC320" s="125"/>
      <c r="BD320" s="125"/>
      <c r="BE320" s="126"/>
      <c r="BF320" s="126"/>
      <c r="BG320" s="126"/>
      <c r="BH320" s="126"/>
      <c r="BI320" s="126"/>
      <c r="BJ320" s="126"/>
      <c r="BK320" s="126"/>
      <c r="BL320" s="126"/>
      <c r="BM320" s="126"/>
      <c r="BN320" s="110" t="s">
        <v>463</v>
      </c>
    </row>
    <row r="321" spans="1:66" s="8" customFormat="1" ht="12.75" customHeight="1" x14ac:dyDescent="0.25">
      <c r="A321" s="150">
        <v>282</v>
      </c>
      <c r="B321" s="150">
        <v>47</v>
      </c>
      <c r="C321" s="111">
        <v>17</v>
      </c>
      <c r="D321" s="90" t="s">
        <v>148</v>
      </c>
      <c r="E321" s="91" t="s">
        <v>425</v>
      </c>
      <c r="F321" s="90" t="s">
        <v>19</v>
      </c>
      <c r="G321" s="90" t="s">
        <v>17</v>
      </c>
      <c r="H321" s="90" t="s">
        <v>150</v>
      </c>
      <c r="I321" s="135" t="s">
        <v>472</v>
      </c>
      <c r="J321" s="151">
        <v>45451</v>
      </c>
      <c r="K321" s="135" t="s">
        <v>122</v>
      </c>
      <c r="L321" s="135">
        <v>461000292</v>
      </c>
      <c r="M321" s="151">
        <v>45457</v>
      </c>
      <c r="N321" s="152">
        <v>45457.166666666664</v>
      </c>
      <c r="O321" s="152">
        <v>45457.166666666664</v>
      </c>
      <c r="P321" s="152">
        <v>45457.170138888891</v>
      </c>
      <c r="Q321" s="152">
        <v>45457.375</v>
      </c>
      <c r="R321" s="152" t="s">
        <v>118</v>
      </c>
      <c r="S321" s="152" t="s">
        <v>118</v>
      </c>
      <c r="T321" s="160">
        <v>45457.416666666664</v>
      </c>
      <c r="U321" s="160">
        <v>45457.416666666664</v>
      </c>
      <c r="V321" s="95">
        <f t="shared" ref="V321:V333" si="176">+Q321-O321</f>
        <v>0.20833333333575865</v>
      </c>
      <c r="W321" s="95">
        <v>0.20833333333333334</v>
      </c>
      <c r="X321" s="95">
        <f t="shared" ref="X321:X333" si="177">IF(VALUE(V321)&lt;=VALUE("05:00"),"00:00",VALUE(V321)-VALUE("05:00"))</f>
        <v>2.4253099528692701E-12</v>
      </c>
      <c r="Y321" s="96">
        <v>0</v>
      </c>
      <c r="Z321" s="96">
        <v>59</v>
      </c>
      <c r="AA321" s="96">
        <f t="shared" si="158"/>
        <v>59</v>
      </c>
      <c r="AB321" s="97">
        <f t="shared" si="159"/>
        <v>0</v>
      </c>
      <c r="AC321" s="97">
        <f t="shared" si="160"/>
        <v>4047.2700000000004</v>
      </c>
      <c r="AD321" s="98">
        <v>4047.27</v>
      </c>
      <c r="AE321" s="98">
        <v>4113.8999999999996</v>
      </c>
      <c r="AF321" s="98">
        <v>4118.3999999999996</v>
      </c>
      <c r="AG321" s="98">
        <f t="shared" si="161"/>
        <v>71.129999999999654</v>
      </c>
      <c r="AH321" s="99">
        <v>672.5</v>
      </c>
      <c r="AI321" s="100">
        <f t="shared" si="162"/>
        <v>2769623.9999999995</v>
      </c>
      <c r="AJ321" s="100">
        <f>(0.8*AH321)*2</f>
        <v>1076</v>
      </c>
      <c r="AK321" s="100">
        <v>0</v>
      </c>
      <c r="AL321" s="100">
        <v>2260</v>
      </c>
      <c r="AM321" s="100">
        <v>0</v>
      </c>
      <c r="AN321" s="100">
        <v>0</v>
      </c>
      <c r="AO321" s="100">
        <v>0</v>
      </c>
      <c r="AP321" s="100">
        <f t="shared" si="166"/>
        <v>138648</v>
      </c>
      <c r="AQ321" s="101">
        <f t="shared" si="167"/>
        <v>2911608</v>
      </c>
      <c r="AR321" s="101">
        <v>0</v>
      </c>
      <c r="AS321" s="101">
        <v>0</v>
      </c>
      <c r="AT321" s="102" t="s">
        <v>33</v>
      </c>
      <c r="AU321" s="157" t="s">
        <v>118</v>
      </c>
      <c r="AV321" s="100">
        <v>0</v>
      </c>
      <c r="AW321" s="105"/>
      <c r="AX321" s="106">
        <f t="shared" ref="AX321:AX332" si="178">IFERROR((AG321/AF321)*100, "")</f>
        <v>1.7271270396270313</v>
      </c>
      <c r="AY321" s="101">
        <f t="shared" ref="AY321:AY332" si="179">ROUNDUP(AG321*AH321,0)</f>
        <v>47835</v>
      </c>
      <c r="AZ321" s="107"/>
      <c r="BA321" s="114">
        <v>45457.166666666664</v>
      </c>
      <c r="BB321" s="114">
        <v>45457.170138888891</v>
      </c>
      <c r="BC321" s="114">
        <v>45457.197916666664</v>
      </c>
      <c r="BD321" s="114">
        <v>45457.353472222225</v>
      </c>
      <c r="BE321" s="95">
        <f t="shared" ref="BE321:BE333" si="180">+BD321-BA321</f>
        <v>0.18680555556056788</v>
      </c>
      <c r="BF321" s="165">
        <v>2.0833333333333332E-2</v>
      </c>
      <c r="BG321" s="165">
        <v>3.8194444444444448E-2</v>
      </c>
      <c r="BH321" s="95">
        <f t="shared" ref="BH321:BJ333" si="181">+BB321-BA321</f>
        <v>3.4722222262644209E-3</v>
      </c>
      <c r="BI321" s="95">
        <f t="shared" si="181"/>
        <v>2.7777777773735579E-2</v>
      </c>
      <c r="BJ321" s="95">
        <f t="shared" si="181"/>
        <v>0.15555555556056788</v>
      </c>
      <c r="BK321" s="95">
        <f t="shared" ref="BK321:BK333" si="182">+BI321+BJ321</f>
        <v>0.18333333333430346</v>
      </c>
      <c r="BL321" s="95">
        <f t="shared" ref="BL321:BL333" si="183">+BE321-BH321-BF321-BG321</f>
        <v>0.12430555555652567</v>
      </c>
      <c r="BM321" s="95" t="str">
        <f t="shared" ref="BM321:BM333" si="184">IF(VALUE(BE321)&lt;=VALUE("05:00"),"00:00",VALUE(BE321)-VALUE("05:00"))</f>
        <v>00:00</v>
      </c>
      <c r="BN321" s="110" t="s">
        <v>463</v>
      </c>
    </row>
    <row r="322" spans="1:66" s="8" customFormat="1" ht="12.75" customHeight="1" x14ac:dyDescent="0.25">
      <c r="A322" s="150">
        <v>283</v>
      </c>
      <c r="B322" s="150">
        <v>48</v>
      </c>
      <c r="C322" s="111">
        <v>9</v>
      </c>
      <c r="D322" s="90" t="s">
        <v>148</v>
      </c>
      <c r="E322" s="91" t="s">
        <v>438</v>
      </c>
      <c r="F322" s="90" t="s">
        <v>16</v>
      </c>
      <c r="G322" s="90" t="s">
        <v>17</v>
      </c>
      <c r="H322" s="90" t="s">
        <v>150</v>
      </c>
      <c r="I322" s="135" t="s">
        <v>473</v>
      </c>
      <c r="J322" s="151">
        <v>45453</v>
      </c>
      <c r="K322" s="135" t="s">
        <v>117</v>
      </c>
      <c r="L322" s="135">
        <v>461000293</v>
      </c>
      <c r="M322" s="151">
        <v>45457</v>
      </c>
      <c r="N322" s="152">
        <v>45457.409722222219</v>
      </c>
      <c r="O322" s="152">
        <v>45457.375</v>
      </c>
      <c r="P322" s="152">
        <v>45457.416666666664</v>
      </c>
      <c r="Q322" s="152">
        <v>45457.583333333336</v>
      </c>
      <c r="R322" s="152">
        <v>45457.409722222219</v>
      </c>
      <c r="S322" s="152" t="s">
        <v>118</v>
      </c>
      <c r="T322" s="152">
        <v>45457.708333333336</v>
      </c>
      <c r="U322" s="152">
        <v>45457.788194444445</v>
      </c>
      <c r="V322" s="95">
        <f t="shared" si="176"/>
        <v>0.20833333333575865</v>
      </c>
      <c r="W322" s="95">
        <v>0.20833333333333334</v>
      </c>
      <c r="X322" s="95">
        <f t="shared" si="177"/>
        <v>2.4253099528692701E-12</v>
      </c>
      <c r="Y322" s="96">
        <v>2</v>
      </c>
      <c r="Z322" s="96">
        <v>57</v>
      </c>
      <c r="AA322" s="96">
        <f t="shared" si="158"/>
        <v>59</v>
      </c>
      <c r="AB322" s="97">
        <f t="shared" si="159"/>
        <v>133.99322033898306</v>
      </c>
      <c r="AC322" s="97">
        <f t="shared" si="160"/>
        <v>3818.8067796610176</v>
      </c>
      <c r="AD322" s="98">
        <v>3952.8</v>
      </c>
      <c r="AE322" s="98">
        <v>4089.4</v>
      </c>
      <c r="AF322" s="98">
        <v>4092.2</v>
      </c>
      <c r="AG322" s="98">
        <f t="shared" si="161"/>
        <v>139.39999999999964</v>
      </c>
      <c r="AH322" s="99">
        <v>672.5</v>
      </c>
      <c r="AI322" s="100">
        <f t="shared" si="162"/>
        <v>2752004.5</v>
      </c>
      <c r="AJ322" s="100">
        <f>(0*AH322)*2</f>
        <v>0</v>
      </c>
      <c r="AK322" s="100">
        <v>0</v>
      </c>
      <c r="AL322" s="100">
        <v>24290</v>
      </c>
      <c r="AM322" s="100">
        <v>0</v>
      </c>
      <c r="AN322" s="100">
        <v>0</v>
      </c>
      <c r="AO322" s="100">
        <v>0</v>
      </c>
      <c r="AP322" s="100">
        <f t="shared" si="166"/>
        <v>138815</v>
      </c>
      <c r="AQ322" s="101">
        <f t="shared" ref="AQ322:AQ353" si="185">ROUNDUP(SUM(AI322:AP322),0)</f>
        <v>2915110</v>
      </c>
      <c r="AR322" s="101">
        <v>0</v>
      </c>
      <c r="AS322" s="101">
        <v>0</v>
      </c>
      <c r="AT322" s="102" t="s">
        <v>33</v>
      </c>
      <c r="AU322" s="157">
        <v>2</v>
      </c>
      <c r="AV322" s="100">
        <f>6.4-2.4</f>
        <v>4</v>
      </c>
      <c r="AW322" s="105"/>
      <c r="AX322" s="106">
        <f t="shared" si="178"/>
        <v>3.4064806216704864</v>
      </c>
      <c r="AY322" s="101">
        <f t="shared" si="179"/>
        <v>93747</v>
      </c>
      <c r="AZ322" s="107"/>
      <c r="BA322" s="114">
        <v>45457.375</v>
      </c>
      <c r="BB322" s="114">
        <v>45457.409722222219</v>
      </c>
      <c r="BC322" s="114">
        <v>45457.409722222219</v>
      </c>
      <c r="BD322" s="114">
        <v>45457.570833333331</v>
      </c>
      <c r="BE322" s="95">
        <f t="shared" si="180"/>
        <v>0.19583333333139308</v>
      </c>
      <c r="BF322" s="165">
        <v>2.9166666666666667E-2</v>
      </c>
      <c r="BG322" s="165">
        <v>1.6666666666666666E-2</v>
      </c>
      <c r="BH322" s="95">
        <f t="shared" si="181"/>
        <v>3.4722222218988463E-2</v>
      </c>
      <c r="BI322" s="95">
        <f t="shared" si="181"/>
        <v>0</v>
      </c>
      <c r="BJ322" s="95">
        <f t="shared" si="181"/>
        <v>0.16111111111240461</v>
      </c>
      <c r="BK322" s="95">
        <f t="shared" si="182"/>
        <v>0.16111111111240461</v>
      </c>
      <c r="BL322" s="95">
        <f t="shared" si="183"/>
        <v>0.11527777777907128</v>
      </c>
      <c r="BM322" s="95" t="str">
        <f t="shared" si="184"/>
        <v>00:00</v>
      </c>
      <c r="BN322" s="110"/>
    </row>
    <row r="323" spans="1:66" s="8" customFormat="1" ht="12.75" customHeight="1" x14ac:dyDescent="0.25">
      <c r="A323" s="150">
        <v>284</v>
      </c>
      <c r="B323" s="150">
        <v>49</v>
      </c>
      <c r="C323" s="111">
        <v>8</v>
      </c>
      <c r="D323" s="90" t="s">
        <v>113</v>
      </c>
      <c r="E323" s="91" t="s">
        <v>366</v>
      </c>
      <c r="F323" s="90" t="s">
        <v>13</v>
      </c>
      <c r="G323" s="90" t="s">
        <v>8</v>
      </c>
      <c r="H323" s="90" t="s">
        <v>131</v>
      </c>
      <c r="I323" s="135" t="s">
        <v>474</v>
      </c>
      <c r="J323" s="151">
        <v>45457</v>
      </c>
      <c r="K323" s="135" t="s">
        <v>122</v>
      </c>
      <c r="L323" s="135">
        <v>282000981</v>
      </c>
      <c r="M323" s="151">
        <v>45458</v>
      </c>
      <c r="N323" s="152">
        <v>45457.6875</v>
      </c>
      <c r="O323" s="152">
        <v>45457.645833333336</v>
      </c>
      <c r="P323" s="152">
        <v>45457.690972222219</v>
      </c>
      <c r="Q323" s="152">
        <v>45457.854166666664</v>
      </c>
      <c r="R323" s="152">
        <v>45457.6875</v>
      </c>
      <c r="S323" s="152" t="s">
        <v>118</v>
      </c>
      <c r="T323" s="152">
        <v>45457.951388888891</v>
      </c>
      <c r="U323" s="152">
        <v>45458.083333333336</v>
      </c>
      <c r="V323" s="95">
        <f t="shared" si="176"/>
        <v>0.20833333332848269</v>
      </c>
      <c r="W323" s="95">
        <v>0.20833333333333334</v>
      </c>
      <c r="X323" s="95" t="str">
        <f t="shared" si="177"/>
        <v>00:00</v>
      </c>
      <c r="Y323" s="96">
        <v>0</v>
      </c>
      <c r="Z323" s="96">
        <v>58</v>
      </c>
      <c r="AA323" s="96">
        <f t="shared" si="158"/>
        <v>58</v>
      </c>
      <c r="AB323" s="97">
        <f t="shared" si="159"/>
        <v>0</v>
      </c>
      <c r="AC323" s="97">
        <f t="shared" si="160"/>
        <v>3903.2399999999993</v>
      </c>
      <c r="AD323" s="98">
        <v>3903.24</v>
      </c>
      <c r="AE323" s="98">
        <v>4034.8</v>
      </c>
      <c r="AF323" s="98">
        <v>4036.4</v>
      </c>
      <c r="AG323" s="98">
        <f t="shared" si="161"/>
        <v>133.16000000000031</v>
      </c>
      <c r="AH323" s="99">
        <v>1398.7</v>
      </c>
      <c r="AI323" s="100">
        <f t="shared" si="162"/>
        <v>5645712.6800000006</v>
      </c>
      <c r="AJ323" s="100">
        <f>(0*AH323)*2</f>
        <v>0</v>
      </c>
      <c r="AK323" s="100">
        <v>0</v>
      </c>
      <c r="AL323" s="100">
        <v>24140</v>
      </c>
      <c r="AM323" s="100">
        <v>0</v>
      </c>
      <c r="AN323" s="100">
        <v>0</v>
      </c>
      <c r="AO323" s="100">
        <v>0</v>
      </c>
      <c r="AP323" s="100">
        <f t="shared" si="166"/>
        <v>283493</v>
      </c>
      <c r="AQ323" s="101">
        <f t="shared" si="185"/>
        <v>5953346</v>
      </c>
      <c r="AR323" s="101">
        <v>0</v>
      </c>
      <c r="AS323" s="101">
        <v>0</v>
      </c>
      <c r="AT323" s="102" t="s">
        <v>33</v>
      </c>
      <c r="AU323" s="157">
        <v>1</v>
      </c>
      <c r="AV323" s="100">
        <f>3.4-1.4</f>
        <v>2</v>
      </c>
      <c r="AW323" s="105"/>
      <c r="AX323" s="106">
        <f t="shared" si="178"/>
        <v>3.2989792884748863</v>
      </c>
      <c r="AY323" s="101">
        <f t="shared" si="179"/>
        <v>186251</v>
      </c>
      <c r="AZ323" s="107"/>
      <c r="BA323" s="114">
        <v>45457.6875</v>
      </c>
      <c r="BB323" s="114">
        <v>45457.690972222219</v>
      </c>
      <c r="BC323" s="114">
        <v>45457.704861111109</v>
      </c>
      <c r="BD323" s="114">
        <v>45457.861111111109</v>
      </c>
      <c r="BE323" s="95">
        <f t="shared" si="180"/>
        <v>0.17361111110949423</v>
      </c>
      <c r="BF323" s="165">
        <v>2.9861111111111113E-2</v>
      </c>
      <c r="BG323" s="165">
        <v>1.3888888888888888E-2</v>
      </c>
      <c r="BH323" s="95">
        <f t="shared" si="181"/>
        <v>3.4722222189884633E-3</v>
      </c>
      <c r="BI323" s="95">
        <f t="shared" si="181"/>
        <v>1.3888888890505768E-2</v>
      </c>
      <c r="BJ323" s="95">
        <f t="shared" si="181"/>
        <v>0.15625</v>
      </c>
      <c r="BK323" s="95">
        <f t="shared" si="182"/>
        <v>0.17013888889050577</v>
      </c>
      <c r="BL323" s="95">
        <f t="shared" si="183"/>
        <v>0.12638888889050576</v>
      </c>
      <c r="BM323" s="95" t="str">
        <f t="shared" si="184"/>
        <v>00:00</v>
      </c>
      <c r="BN323" s="110"/>
    </row>
    <row r="324" spans="1:66" s="8" customFormat="1" ht="12.75" customHeight="1" x14ac:dyDescent="0.25">
      <c r="A324" s="150">
        <v>285</v>
      </c>
      <c r="B324" s="150">
        <v>50</v>
      </c>
      <c r="C324" s="111">
        <v>10</v>
      </c>
      <c r="D324" s="90" t="s">
        <v>148</v>
      </c>
      <c r="E324" s="91" t="s">
        <v>438</v>
      </c>
      <c r="F324" s="90" t="s">
        <v>16</v>
      </c>
      <c r="G324" s="90" t="s">
        <v>17</v>
      </c>
      <c r="H324" s="90" t="s">
        <v>150</v>
      </c>
      <c r="I324" s="135" t="s">
        <v>475</v>
      </c>
      <c r="J324" s="151">
        <v>45453</v>
      </c>
      <c r="K324" s="135" t="s">
        <v>117</v>
      </c>
      <c r="L324" s="135">
        <v>461000294</v>
      </c>
      <c r="M324" s="151">
        <v>45458</v>
      </c>
      <c r="N324" s="152">
        <v>45457.875</v>
      </c>
      <c r="O324" s="152">
        <v>45457.822916666664</v>
      </c>
      <c r="P324" s="152">
        <v>45457.881944444445</v>
      </c>
      <c r="Q324" s="152">
        <v>45457.989583333336</v>
      </c>
      <c r="R324" s="152">
        <v>45457.875</v>
      </c>
      <c r="S324" s="152" t="s">
        <v>118</v>
      </c>
      <c r="T324" s="152">
        <v>45458.083333333336</v>
      </c>
      <c r="U324" s="152">
        <v>45458.125</v>
      </c>
      <c r="V324" s="95">
        <f t="shared" si="176"/>
        <v>0.16666666667151731</v>
      </c>
      <c r="W324" s="95">
        <v>0.20833333333333334</v>
      </c>
      <c r="X324" s="95" t="str">
        <f t="shared" si="177"/>
        <v>00:00</v>
      </c>
      <c r="Y324" s="96">
        <v>2</v>
      </c>
      <c r="Z324" s="96">
        <v>56</v>
      </c>
      <c r="AA324" s="96">
        <f t="shared" si="158"/>
        <v>58</v>
      </c>
      <c r="AB324" s="97">
        <f t="shared" si="159"/>
        <v>138.8251724137931</v>
      </c>
      <c r="AC324" s="97">
        <f t="shared" si="160"/>
        <v>3887.1048275862067</v>
      </c>
      <c r="AD324" s="98">
        <v>4025.93</v>
      </c>
      <c r="AE324" s="98">
        <v>4033.2</v>
      </c>
      <c r="AF324" s="98">
        <v>4047</v>
      </c>
      <c r="AG324" s="98">
        <f t="shared" si="161"/>
        <v>21.070000000000164</v>
      </c>
      <c r="AH324" s="99">
        <v>672.5</v>
      </c>
      <c r="AI324" s="100">
        <f t="shared" si="162"/>
        <v>2721607.5</v>
      </c>
      <c r="AJ324" s="100">
        <f>(0.2*AH324)*2</f>
        <v>269</v>
      </c>
      <c r="AK324" s="100">
        <v>0</v>
      </c>
      <c r="AL324" s="100">
        <v>0</v>
      </c>
      <c r="AM324" s="100">
        <v>0</v>
      </c>
      <c r="AN324" s="100">
        <v>0</v>
      </c>
      <c r="AO324" s="100">
        <v>0</v>
      </c>
      <c r="AP324" s="100">
        <f t="shared" si="166"/>
        <v>136094</v>
      </c>
      <c r="AQ324" s="101">
        <f t="shared" si="185"/>
        <v>2857971</v>
      </c>
      <c r="AR324" s="101">
        <v>0</v>
      </c>
      <c r="AS324" s="101">
        <v>0</v>
      </c>
      <c r="AT324" s="102" t="s">
        <v>33</v>
      </c>
      <c r="AU324" s="157" t="s">
        <v>118</v>
      </c>
      <c r="AV324" s="100">
        <v>0</v>
      </c>
      <c r="AW324" s="105"/>
      <c r="AX324" s="106">
        <f t="shared" si="178"/>
        <v>0.52063256733383156</v>
      </c>
      <c r="AY324" s="101">
        <f t="shared" si="179"/>
        <v>14170</v>
      </c>
      <c r="AZ324" s="107"/>
      <c r="BA324" s="114">
        <v>45457.875</v>
      </c>
      <c r="BB324" s="114">
        <v>45457.881944444445</v>
      </c>
      <c r="BC324" s="114">
        <v>45457.881944444445</v>
      </c>
      <c r="BD324" s="114">
        <v>45457.999305555553</v>
      </c>
      <c r="BE324" s="95">
        <f t="shared" si="180"/>
        <v>0.12430555555329192</v>
      </c>
      <c r="BF324" s="165">
        <v>0</v>
      </c>
      <c r="BG324" s="165">
        <v>0</v>
      </c>
      <c r="BH324" s="95">
        <f t="shared" si="181"/>
        <v>6.9444444452528842E-3</v>
      </c>
      <c r="BI324" s="95">
        <f t="shared" si="181"/>
        <v>0</v>
      </c>
      <c r="BJ324" s="95">
        <f t="shared" si="181"/>
        <v>0.11736111110803904</v>
      </c>
      <c r="BK324" s="95">
        <f t="shared" si="182"/>
        <v>0.11736111110803904</v>
      </c>
      <c r="BL324" s="95">
        <f t="shared" si="183"/>
        <v>0.11736111110803904</v>
      </c>
      <c r="BM324" s="95" t="str">
        <f t="shared" si="184"/>
        <v>00:00</v>
      </c>
      <c r="BN324" s="110"/>
    </row>
    <row r="325" spans="1:66" s="8" customFormat="1" ht="12.75" customHeight="1" x14ac:dyDescent="0.25">
      <c r="A325" s="150">
        <v>286</v>
      </c>
      <c r="B325" s="150">
        <v>51</v>
      </c>
      <c r="C325" s="111">
        <v>19</v>
      </c>
      <c r="D325" s="90" t="s">
        <v>113</v>
      </c>
      <c r="E325" s="91" t="s">
        <v>319</v>
      </c>
      <c r="F325" s="90" t="s">
        <v>32</v>
      </c>
      <c r="G325" s="90" t="s">
        <v>8</v>
      </c>
      <c r="H325" s="90" t="s">
        <v>273</v>
      </c>
      <c r="I325" s="135" t="s">
        <v>476</v>
      </c>
      <c r="J325" s="151">
        <v>45457</v>
      </c>
      <c r="K325" s="135" t="s">
        <v>122</v>
      </c>
      <c r="L325" s="135">
        <v>262009805</v>
      </c>
      <c r="M325" s="151">
        <v>45458</v>
      </c>
      <c r="N325" s="152">
        <v>45458.083333333336</v>
      </c>
      <c r="O325" s="152">
        <v>45458.083333333336</v>
      </c>
      <c r="P325" s="152">
        <v>45458.086805555555</v>
      </c>
      <c r="Q325" s="152">
        <v>45458.270833333336</v>
      </c>
      <c r="R325" s="152" t="s">
        <v>118</v>
      </c>
      <c r="S325" s="152" t="s">
        <v>118</v>
      </c>
      <c r="T325" s="152">
        <v>45458.305555555555</v>
      </c>
      <c r="U325" s="152">
        <v>45458.444444444445</v>
      </c>
      <c r="V325" s="165">
        <f t="shared" si="176"/>
        <v>0.1875</v>
      </c>
      <c r="W325" s="95">
        <v>0.20833333333333334</v>
      </c>
      <c r="X325" s="165" t="str">
        <f t="shared" si="177"/>
        <v>00:00</v>
      </c>
      <c r="Y325" s="96">
        <v>0</v>
      </c>
      <c r="Z325" s="96">
        <v>58</v>
      </c>
      <c r="AA325" s="96">
        <f t="shared" si="158"/>
        <v>58</v>
      </c>
      <c r="AB325" s="97">
        <f t="shared" si="159"/>
        <v>0</v>
      </c>
      <c r="AC325" s="97">
        <f t="shared" si="160"/>
        <v>3955.13</v>
      </c>
      <c r="AD325" s="98">
        <v>3955.13</v>
      </c>
      <c r="AE325" s="98">
        <v>4029.5</v>
      </c>
      <c r="AF325" s="98">
        <v>4036.8</v>
      </c>
      <c r="AG325" s="98">
        <f t="shared" si="161"/>
        <v>81.670000000000073</v>
      </c>
      <c r="AH325" s="99">
        <v>1435.6</v>
      </c>
      <c r="AI325" s="100">
        <f t="shared" si="162"/>
        <v>5795230.0800000001</v>
      </c>
      <c r="AJ325" s="100">
        <f>(0*AH325)*2</f>
        <v>0</v>
      </c>
      <c r="AK325" s="100">
        <v>0</v>
      </c>
      <c r="AL325" s="100">
        <v>24140</v>
      </c>
      <c r="AM325" s="100">
        <v>0</v>
      </c>
      <c r="AN325" s="100">
        <v>0</v>
      </c>
      <c r="AO325" s="100">
        <v>0</v>
      </c>
      <c r="AP325" s="100">
        <f t="shared" si="166"/>
        <v>290969</v>
      </c>
      <c r="AQ325" s="101">
        <f t="shared" si="185"/>
        <v>6110340</v>
      </c>
      <c r="AR325" s="101">
        <v>0</v>
      </c>
      <c r="AS325" s="101">
        <v>0</v>
      </c>
      <c r="AT325" s="102" t="s">
        <v>33</v>
      </c>
      <c r="AU325" s="157">
        <v>5</v>
      </c>
      <c r="AV325" s="100">
        <f>15.2-5.7</f>
        <v>9.5</v>
      </c>
      <c r="AW325" s="105"/>
      <c r="AX325" s="106">
        <f t="shared" si="178"/>
        <v>2.0231371383273897</v>
      </c>
      <c r="AY325" s="101">
        <f t="shared" si="179"/>
        <v>117246</v>
      </c>
      <c r="AZ325" s="107"/>
      <c r="BA325" s="114">
        <v>45458.083333333336</v>
      </c>
      <c r="BB325" s="114">
        <v>45458.086805555555</v>
      </c>
      <c r="BC325" s="114">
        <v>45458.086805555555</v>
      </c>
      <c r="BD325" s="114">
        <v>45458.256944444445</v>
      </c>
      <c r="BE325" s="165">
        <f t="shared" si="180"/>
        <v>0.17361111110949423</v>
      </c>
      <c r="BF325" s="165">
        <v>2.2222222222222223E-2</v>
      </c>
      <c r="BG325" s="165">
        <v>3.472222222222222E-3</v>
      </c>
      <c r="BH325" s="165">
        <f t="shared" si="181"/>
        <v>3.4722222189884633E-3</v>
      </c>
      <c r="BI325" s="95">
        <f t="shared" si="181"/>
        <v>0</v>
      </c>
      <c r="BJ325" s="165">
        <f t="shared" si="181"/>
        <v>0.17013888889050577</v>
      </c>
      <c r="BK325" s="95">
        <f t="shared" si="182"/>
        <v>0.17013888889050577</v>
      </c>
      <c r="BL325" s="165">
        <f t="shared" si="183"/>
        <v>0.14444444444606133</v>
      </c>
      <c r="BM325" s="165" t="str">
        <f t="shared" si="184"/>
        <v>00:00</v>
      </c>
      <c r="BN325" s="110"/>
    </row>
    <row r="326" spans="1:66" s="8" customFormat="1" ht="12.75" customHeight="1" x14ac:dyDescent="0.25">
      <c r="A326" s="150">
        <v>287</v>
      </c>
      <c r="B326" s="150">
        <v>52</v>
      </c>
      <c r="C326" s="111">
        <v>11</v>
      </c>
      <c r="D326" s="90" t="s">
        <v>148</v>
      </c>
      <c r="E326" s="91" t="s">
        <v>438</v>
      </c>
      <c r="F326" s="90" t="s">
        <v>16</v>
      </c>
      <c r="G326" s="90" t="s">
        <v>17</v>
      </c>
      <c r="H326" s="90" t="s">
        <v>150</v>
      </c>
      <c r="I326" s="135" t="s">
        <v>477</v>
      </c>
      <c r="J326" s="151">
        <v>45457</v>
      </c>
      <c r="K326" s="135" t="s">
        <v>117</v>
      </c>
      <c r="L326" s="135">
        <v>461000295</v>
      </c>
      <c r="M326" s="151">
        <v>45458</v>
      </c>
      <c r="N326" s="152">
        <v>45458.270833333336</v>
      </c>
      <c r="O326" s="152">
        <v>45458.270833333336</v>
      </c>
      <c r="P326" s="152">
        <v>45458.274305555555</v>
      </c>
      <c r="Q326" s="152">
        <v>45458.4375</v>
      </c>
      <c r="R326" s="152" t="s">
        <v>118</v>
      </c>
      <c r="S326" s="152" t="s">
        <v>118</v>
      </c>
      <c r="T326" s="152">
        <v>45458.489583333336</v>
      </c>
      <c r="U326" s="152">
        <v>45458.567361111112</v>
      </c>
      <c r="V326" s="165">
        <f t="shared" si="176"/>
        <v>0.16666666666424135</v>
      </c>
      <c r="W326" s="95">
        <v>0.20833333333333334</v>
      </c>
      <c r="X326" s="165" t="str">
        <f t="shared" si="177"/>
        <v>00:00</v>
      </c>
      <c r="Y326" s="96">
        <v>2</v>
      </c>
      <c r="Z326" s="96">
        <v>56</v>
      </c>
      <c r="AA326" s="96">
        <f t="shared" si="158"/>
        <v>58</v>
      </c>
      <c r="AB326" s="97">
        <f t="shared" si="159"/>
        <v>136.76758620689657</v>
      </c>
      <c r="AC326" s="97">
        <f t="shared" si="160"/>
        <v>3829.4924137931039</v>
      </c>
      <c r="AD326" s="98">
        <v>3966.26</v>
      </c>
      <c r="AE326" s="98">
        <v>4025.3</v>
      </c>
      <c r="AF326" s="98">
        <v>4028.4</v>
      </c>
      <c r="AG326" s="98">
        <f t="shared" si="161"/>
        <v>62.139999999999873</v>
      </c>
      <c r="AH326" s="99">
        <v>672.5</v>
      </c>
      <c r="AI326" s="100">
        <f t="shared" si="162"/>
        <v>2709099</v>
      </c>
      <c r="AJ326" s="100">
        <f>(0.6*AH326)*2</f>
        <v>807</v>
      </c>
      <c r="AK326" s="100">
        <v>0</v>
      </c>
      <c r="AL326" s="100">
        <v>0</v>
      </c>
      <c r="AM326" s="100">
        <v>0</v>
      </c>
      <c r="AN326" s="100">
        <v>0</v>
      </c>
      <c r="AO326" s="100">
        <v>0</v>
      </c>
      <c r="AP326" s="100">
        <f t="shared" si="166"/>
        <v>135496</v>
      </c>
      <c r="AQ326" s="101">
        <f t="shared" si="185"/>
        <v>2845402</v>
      </c>
      <c r="AR326" s="101">
        <v>0</v>
      </c>
      <c r="AS326" s="101">
        <v>0</v>
      </c>
      <c r="AT326" s="102" t="s">
        <v>33</v>
      </c>
      <c r="AU326" s="157" t="s">
        <v>118</v>
      </c>
      <c r="AV326" s="100">
        <v>0</v>
      </c>
      <c r="AW326" s="105"/>
      <c r="AX326" s="106">
        <f t="shared" si="178"/>
        <v>1.5425479098401318</v>
      </c>
      <c r="AY326" s="101">
        <f t="shared" si="179"/>
        <v>41790</v>
      </c>
      <c r="AZ326" s="107"/>
      <c r="BA326" s="114">
        <v>45458.270833333336</v>
      </c>
      <c r="BB326" s="114">
        <v>45458.274305555555</v>
      </c>
      <c r="BC326" s="114">
        <v>45458.274305555555</v>
      </c>
      <c r="BD326" s="114">
        <v>45458.397222222222</v>
      </c>
      <c r="BE326" s="165">
        <f t="shared" si="180"/>
        <v>0.12638888888614019</v>
      </c>
      <c r="BF326" s="165">
        <v>4.8611111111111112E-3</v>
      </c>
      <c r="BG326" s="165">
        <v>0</v>
      </c>
      <c r="BH326" s="165">
        <f t="shared" si="181"/>
        <v>3.4722222189884633E-3</v>
      </c>
      <c r="BI326" s="95">
        <f t="shared" si="181"/>
        <v>0</v>
      </c>
      <c r="BJ326" s="165">
        <f t="shared" si="181"/>
        <v>0.12291666666715173</v>
      </c>
      <c r="BK326" s="95">
        <f t="shared" si="182"/>
        <v>0.12291666666715173</v>
      </c>
      <c r="BL326" s="165">
        <f t="shared" si="183"/>
        <v>0.11805555555604062</v>
      </c>
      <c r="BM326" s="165" t="str">
        <f t="shared" si="184"/>
        <v>00:00</v>
      </c>
      <c r="BN326" s="110"/>
    </row>
    <row r="327" spans="1:66" s="8" customFormat="1" ht="12.75" customHeight="1" x14ac:dyDescent="0.25">
      <c r="A327" s="150">
        <v>288</v>
      </c>
      <c r="B327" s="150">
        <v>53</v>
      </c>
      <c r="C327" s="90">
        <v>12</v>
      </c>
      <c r="D327" s="90" t="s">
        <v>148</v>
      </c>
      <c r="E327" s="91" t="s">
        <v>438</v>
      </c>
      <c r="F327" s="90" t="s">
        <v>16</v>
      </c>
      <c r="G327" s="90" t="s">
        <v>17</v>
      </c>
      <c r="H327" s="90" t="s">
        <v>150</v>
      </c>
      <c r="I327" s="135" t="s">
        <v>478</v>
      </c>
      <c r="J327" s="151">
        <v>45457</v>
      </c>
      <c r="K327" s="135" t="s">
        <v>122</v>
      </c>
      <c r="L327" s="135">
        <v>461000296</v>
      </c>
      <c r="M327" s="151">
        <v>45458</v>
      </c>
      <c r="N327" s="152">
        <v>45458.541666666664</v>
      </c>
      <c r="O327" s="152">
        <v>45458.5</v>
      </c>
      <c r="P327" s="152">
        <v>45458.545138888891</v>
      </c>
      <c r="Q327" s="152">
        <v>45458.708333333336</v>
      </c>
      <c r="R327" s="152">
        <v>45458.541666666664</v>
      </c>
      <c r="S327" s="152" t="s">
        <v>118</v>
      </c>
      <c r="T327" s="152">
        <v>45458.729166666664</v>
      </c>
      <c r="U327" s="152">
        <v>45458.822916666664</v>
      </c>
      <c r="V327" s="165">
        <f t="shared" si="176"/>
        <v>0.20833333333575865</v>
      </c>
      <c r="W327" s="95">
        <v>0.20833333333333334</v>
      </c>
      <c r="X327" s="165">
        <f t="shared" si="177"/>
        <v>2.4253099528692701E-12</v>
      </c>
      <c r="Y327" s="96">
        <v>2</v>
      </c>
      <c r="Z327" s="96">
        <v>57</v>
      </c>
      <c r="AA327" s="96">
        <f t="shared" si="158"/>
        <v>59</v>
      </c>
      <c r="AB327" s="97">
        <f t="shared" si="159"/>
        <v>138.2793220338983</v>
      </c>
      <c r="AC327" s="97">
        <f t="shared" si="160"/>
        <v>3940.9606779661012</v>
      </c>
      <c r="AD327" s="98">
        <v>4079.24</v>
      </c>
      <c r="AE327" s="98">
        <v>4101.2</v>
      </c>
      <c r="AF327" s="98">
        <v>4111.8</v>
      </c>
      <c r="AG327" s="98">
        <f t="shared" si="161"/>
        <v>32.5600000000004</v>
      </c>
      <c r="AH327" s="99">
        <v>672.5</v>
      </c>
      <c r="AI327" s="100">
        <f t="shared" si="162"/>
        <v>2765185.5</v>
      </c>
      <c r="AJ327" s="100">
        <f>(0*AH327)*2</f>
        <v>0</v>
      </c>
      <c r="AK327" s="100">
        <v>0</v>
      </c>
      <c r="AL327" s="100">
        <v>24290</v>
      </c>
      <c r="AM327" s="100">
        <v>0</v>
      </c>
      <c r="AN327" s="100">
        <v>0</v>
      </c>
      <c r="AO327" s="100">
        <v>0</v>
      </c>
      <c r="AP327" s="100">
        <f t="shared" si="166"/>
        <v>139474</v>
      </c>
      <c r="AQ327" s="101">
        <f t="shared" si="185"/>
        <v>2928950</v>
      </c>
      <c r="AR327" s="101">
        <v>0</v>
      </c>
      <c r="AS327" s="101">
        <v>0</v>
      </c>
      <c r="AT327" s="102" t="s">
        <v>33</v>
      </c>
      <c r="AU327" s="157">
        <v>3</v>
      </c>
      <c r="AV327" s="100"/>
      <c r="AW327" s="105"/>
      <c r="AX327" s="106">
        <f t="shared" si="178"/>
        <v>0.79186730872125111</v>
      </c>
      <c r="AY327" s="101">
        <f t="shared" si="179"/>
        <v>21897</v>
      </c>
      <c r="AZ327" s="107"/>
      <c r="BA327" s="114">
        <v>45458.541666666664</v>
      </c>
      <c r="BB327" s="114">
        <v>45458.545138888891</v>
      </c>
      <c r="BC327" s="114">
        <v>45458.545138888891</v>
      </c>
      <c r="BD327" s="114">
        <v>45458.70416666667</v>
      </c>
      <c r="BE327" s="165">
        <f t="shared" si="180"/>
        <v>0.16250000000582077</v>
      </c>
      <c r="BF327" s="165">
        <v>3.5416666666666666E-2</v>
      </c>
      <c r="BG327" s="165">
        <v>0</v>
      </c>
      <c r="BH327" s="165">
        <f t="shared" si="181"/>
        <v>3.4722222262644209E-3</v>
      </c>
      <c r="BI327" s="95">
        <f t="shared" si="181"/>
        <v>0</v>
      </c>
      <c r="BJ327" s="165">
        <f t="shared" si="181"/>
        <v>0.15902777777955635</v>
      </c>
      <c r="BK327" s="95">
        <f t="shared" si="182"/>
        <v>0.15902777777955635</v>
      </c>
      <c r="BL327" s="165">
        <f t="shared" si="183"/>
        <v>0.12361111111288968</v>
      </c>
      <c r="BM327" s="165" t="str">
        <f t="shared" si="184"/>
        <v>00:00</v>
      </c>
      <c r="BN327" s="110"/>
    </row>
    <row r="328" spans="1:66" s="8" customFormat="1" ht="12.75" customHeight="1" x14ac:dyDescent="0.25">
      <c r="A328" s="150">
        <v>289</v>
      </c>
      <c r="B328" s="150">
        <v>54</v>
      </c>
      <c r="C328" s="90">
        <v>20</v>
      </c>
      <c r="D328" s="90" t="s">
        <v>113</v>
      </c>
      <c r="E328" s="91" t="s">
        <v>319</v>
      </c>
      <c r="F328" s="90" t="s">
        <v>32</v>
      </c>
      <c r="G328" s="90" t="s">
        <v>8</v>
      </c>
      <c r="H328" s="90" t="s">
        <v>146</v>
      </c>
      <c r="I328" s="135" t="s">
        <v>479</v>
      </c>
      <c r="J328" s="151">
        <v>45457</v>
      </c>
      <c r="K328" s="135" t="s">
        <v>117</v>
      </c>
      <c r="L328" s="135">
        <v>261005762</v>
      </c>
      <c r="M328" s="151">
        <v>45459</v>
      </c>
      <c r="N328" s="152">
        <v>45458.71875</v>
      </c>
      <c r="O328" s="152">
        <v>45458.708333333336</v>
      </c>
      <c r="P328" s="152">
        <v>45458.722222222219</v>
      </c>
      <c r="Q328" s="152">
        <v>45458.916666666664</v>
      </c>
      <c r="R328" s="152">
        <v>45458.71875</v>
      </c>
      <c r="S328" s="152">
        <v>45458.996527777781</v>
      </c>
      <c r="T328" s="152">
        <v>45459.041666666664</v>
      </c>
      <c r="U328" s="152">
        <v>45459.15625</v>
      </c>
      <c r="V328" s="165">
        <f t="shared" si="176"/>
        <v>0.20833333332848269</v>
      </c>
      <c r="W328" s="95">
        <v>0.20833333333333334</v>
      </c>
      <c r="X328" s="165" t="str">
        <f t="shared" si="177"/>
        <v>00:00</v>
      </c>
      <c r="Y328" s="96">
        <v>0</v>
      </c>
      <c r="Z328" s="96">
        <v>59</v>
      </c>
      <c r="AA328" s="96">
        <f t="shared" si="158"/>
        <v>59</v>
      </c>
      <c r="AB328" s="97">
        <f t="shared" si="159"/>
        <v>0</v>
      </c>
      <c r="AC328" s="97">
        <f t="shared" si="160"/>
        <v>3992.42</v>
      </c>
      <c r="AD328" s="98">
        <v>3992.42</v>
      </c>
      <c r="AE328" s="98">
        <v>4094.4</v>
      </c>
      <c r="AF328" s="98">
        <v>4102.6000000000004</v>
      </c>
      <c r="AG328" s="98">
        <f t="shared" si="161"/>
        <v>110.18000000000029</v>
      </c>
      <c r="AH328" s="99">
        <v>1398.7</v>
      </c>
      <c r="AI328" s="100">
        <f t="shared" si="162"/>
        <v>5738306.620000001</v>
      </c>
      <c r="AJ328" s="100">
        <f>(0*AH328)*2</f>
        <v>0</v>
      </c>
      <c r="AK328" s="100">
        <v>0</v>
      </c>
      <c r="AL328" s="100">
        <v>24290</v>
      </c>
      <c r="AM328" s="100">
        <v>0</v>
      </c>
      <c r="AN328" s="100">
        <v>0</v>
      </c>
      <c r="AO328" s="100">
        <v>0</v>
      </c>
      <c r="AP328" s="100">
        <f t="shared" si="166"/>
        <v>288130</v>
      </c>
      <c r="AQ328" s="101">
        <f t="shared" si="185"/>
        <v>6050727</v>
      </c>
      <c r="AR328" s="101">
        <v>0</v>
      </c>
      <c r="AS328" s="101">
        <v>0</v>
      </c>
      <c r="AT328" s="102" t="s">
        <v>33</v>
      </c>
      <c r="AU328" s="157">
        <v>5</v>
      </c>
      <c r="AV328" s="100">
        <f>13.47-6.97</f>
        <v>6.5000000000000009</v>
      </c>
      <c r="AW328" s="105"/>
      <c r="AX328" s="106">
        <f t="shared" si="178"/>
        <v>2.6856140008774991</v>
      </c>
      <c r="AY328" s="101">
        <f t="shared" si="179"/>
        <v>154109</v>
      </c>
      <c r="AZ328" s="107"/>
      <c r="BA328" s="114">
        <v>45458.71875</v>
      </c>
      <c r="BB328" s="114">
        <v>45458.722222222219</v>
      </c>
      <c r="BC328" s="114">
        <v>45458.75</v>
      </c>
      <c r="BD328" s="114">
        <v>45458.996527777781</v>
      </c>
      <c r="BE328" s="165">
        <f t="shared" si="180"/>
        <v>0.27777777778101154</v>
      </c>
      <c r="BF328" s="165">
        <v>9.7222222222222224E-2</v>
      </c>
      <c r="BG328" s="165">
        <v>0</v>
      </c>
      <c r="BH328" s="165">
        <f t="shared" si="181"/>
        <v>3.4722222189884633E-3</v>
      </c>
      <c r="BI328" s="165">
        <f t="shared" si="181"/>
        <v>2.7777777781011537E-2</v>
      </c>
      <c r="BJ328" s="165">
        <f t="shared" si="181"/>
        <v>0.24652777778101154</v>
      </c>
      <c r="BK328" s="165">
        <f t="shared" si="182"/>
        <v>0.27430555556202307</v>
      </c>
      <c r="BL328" s="165">
        <f t="shared" si="183"/>
        <v>0.17708333333980086</v>
      </c>
      <c r="BM328" s="165">
        <f t="shared" si="184"/>
        <v>6.9444444447678194E-2</v>
      </c>
      <c r="BN328" s="110"/>
    </row>
    <row r="329" spans="1:66" s="8" customFormat="1" ht="12.75" customHeight="1" x14ac:dyDescent="0.25">
      <c r="A329" s="150">
        <v>290</v>
      </c>
      <c r="B329" s="150">
        <v>55</v>
      </c>
      <c r="C329" s="90">
        <v>13</v>
      </c>
      <c r="D329" s="90" t="s">
        <v>148</v>
      </c>
      <c r="E329" s="91" t="s">
        <v>438</v>
      </c>
      <c r="F329" s="90" t="s">
        <v>16</v>
      </c>
      <c r="G329" s="90" t="s">
        <v>17</v>
      </c>
      <c r="H329" s="90" t="s">
        <v>150</v>
      </c>
      <c r="I329" s="135" t="s">
        <v>480</v>
      </c>
      <c r="J329" s="151">
        <v>45458</v>
      </c>
      <c r="K329" s="135" t="s">
        <v>122</v>
      </c>
      <c r="L329" s="135">
        <v>461000297</v>
      </c>
      <c r="M329" s="151">
        <v>45459</v>
      </c>
      <c r="N329" s="152">
        <v>45459.020833333336</v>
      </c>
      <c r="O329" s="152">
        <v>45459.020833333336</v>
      </c>
      <c r="P329" s="152">
        <v>45459.079861111109</v>
      </c>
      <c r="Q329" s="152">
        <v>45459.229166666664</v>
      </c>
      <c r="R329" s="152" t="s">
        <v>118</v>
      </c>
      <c r="S329" s="152" t="s">
        <v>118</v>
      </c>
      <c r="T329" s="152">
        <v>45459.243055555555</v>
      </c>
      <c r="U329" s="152">
        <v>45459.329861111109</v>
      </c>
      <c r="V329" s="165">
        <f t="shared" si="176"/>
        <v>0.20833333332848269</v>
      </c>
      <c r="W329" s="95">
        <v>0.20833333333333334</v>
      </c>
      <c r="X329" s="165" t="str">
        <f t="shared" si="177"/>
        <v>00:00</v>
      </c>
      <c r="Y329" s="96">
        <v>0</v>
      </c>
      <c r="Z329" s="96">
        <v>58</v>
      </c>
      <c r="AA329" s="96">
        <f t="shared" si="158"/>
        <v>58</v>
      </c>
      <c r="AB329" s="97">
        <f t="shared" si="159"/>
        <v>0</v>
      </c>
      <c r="AC329" s="97">
        <f t="shared" si="160"/>
        <v>3934.8700000000003</v>
      </c>
      <c r="AD329" s="98">
        <v>3934.87</v>
      </c>
      <c r="AE329" s="98">
        <v>4019.8</v>
      </c>
      <c r="AF329" s="98">
        <v>4021</v>
      </c>
      <c r="AG329" s="98">
        <f t="shared" si="161"/>
        <v>86.130000000000109</v>
      </c>
      <c r="AH329" s="99">
        <v>672.5</v>
      </c>
      <c r="AI329" s="100">
        <f t="shared" si="162"/>
        <v>2704122.5</v>
      </c>
      <c r="AJ329" s="100">
        <f>(0.4*AH329)*2</f>
        <v>538</v>
      </c>
      <c r="AK329" s="100">
        <v>0</v>
      </c>
      <c r="AL329" s="100">
        <v>0</v>
      </c>
      <c r="AM329" s="100">
        <v>0</v>
      </c>
      <c r="AN329" s="100">
        <v>0</v>
      </c>
      <c r="AO329" s="100">
        <v>0</v>
      </c>
      <c r="AP329" s="100">
        <f t="shared" si="166"/>
        <v>135234</v>
      </c>
      <c r="AQ329" s="101">
        <f t="shared" si="185"/>
        <v>2839895</v>
      </c>
      <c r="AR329" s="101">
        <v>0</v>
      </c>
      <c r="AS329" s="101">
        <v>0</v>
      </c>
      <c r="AT329" s="102" t="s">
        <v>33</v>
      </c>
      <c r="AU329" s="157" t="s">
        <v>118</v>
      </c>
      <c r="AV329" s="100">
        <v>0</v>
      </c>
      <c r="AW329" s="105"/>
      <c r="AX329" s="106">
        <f t="shared" si="178"/>
        <v>2.1420044764983865</v>
      </c>
      <c r="AY329" s="101">
        <f t="shared" si="179"/>
        <v>57923</v>
      </c>
      <c r="AZ329" s="107"/>
      <c r="BA329" s="114">
        <v>45459.020833333336</v>
      </c>
      <c r="BB329" s="114">
        <v>45459.079861111109</v>
      </c>
      <c r="BC329" s="114">
        <v>45459.079861111109</v>
      </c>
      <c r="BD329" s="114">
        <v>45459.198611111111</v>
      </c>
      <c r="BE329" s="165">
        <f t="shared" si="180"/>
        <v>0.17777777777519077</v>
      </c>
      <c r="BF329" s="165">
        <v>1.1111111111111112E-2</v>
      </c>
      <c r="BG329" s="165">
        <v>0</v>
      </c>
      <c r="BH329" s="165">
        <f t="shared" si="181"/>
        <v>5.9027777773735579E-2</v>
      </c>
      <c r="BI329" s="165">
        <f t="shared" si="181"/>
        <v>0</v>
      </c>
      <c r="BJ329" s="165">
        <f t="shared" si="181"/>
        <v>0.11875000000145519</v>
      </c>
      <c r="BK329" s="165">
        <f t="shared" si="182"/>
        <v>0.11875000000145519</v>
      </c>
      <c r="BL329" s="165">
        <f t="shared" si="183"/>
        <v>0.10763888889034408</v>
      </c>
      <c r="BM329" s="165" t="str">
        <f t="shared" si="184"/>
        <v>00:00</v>
      </c>
      <c r="BN329" s="110"/>
    </row>
    <row r="330" spans="1:66" s="8" customFormat="1" ht="12.75" customHeight="1" x14ac:dyDescent="0.25">
      <c r="A330" s="150">
        <v>291</v>
      </c>
      <c r="B330" s="150">
        <v>56</v>
      </c>
      <c r="C330" s="90">
        <v>9</v>
      </c>
      <c r="D330" s="90" t="s">
        <v>113</v>
      </c>
      <c r="E330" s="91" t="s">
        <v>366</v>
      </c>
      <c r="F330" s="90" t="s">
        <v>13</v>
      </c>
      <c r="G330" s="90" t="s">
        <v>8</v>
      </c>
      <c r="H330" s="90" t="s">
        <v>131</v>
      </c>
      <c r="I330" s="135" t="s">
        <v>481</v>
      </c>
      <c r="J330" s="151">
        <v>45459</v>
      </c>
      <c r="K330" s="135" t="s">
        <v>117</v>
      </c>
      <c r="L330" s="135">
        <v>282000984</v>
      </c>
      <c r="M330" s="151">
        <v>45460</v>
      </c>
      <c r="N330" s="152">
        <v>45459.229166666664</v>
      </c>
      <c r="O330" s="152">
        <v>45459.229166666664</v>
      </c>
      <c r="P330" s="152">
        <v>45459.239583333336</v>
      </c>
      <c r="Q330" s="152">
        <v>45459.4375</v>
      </c>
      <c r="R330" s="152" t="s">
        <v>118</v>
      </c>
      <c r="S330" s="152" t="s">
        <v>118</v>
      </c>
      <c r="T330" s="152">
        <v>45459.597222222219</v>
      </c>
      <c r="U330" s="152">
        <v>45459.669444444444</v>
      </c>
      <c r="V330" s="165">
        <f t="shared" si="176"/>
        <v>0.20833333333575865</v>
      </c>
      <c r="W330" s="95">
        <v>0.20833333333333334</v>
      </c>
      <c r="X330" s="165">
        <f t="shared" si="177"/>
        <v>2.4253099528692701E-12</v>
      </c>
      <c r="Y330" s="96">
        <v>0</v>
      </c>
      <c r="Z330" s="96">
        <v>58</v>
      </c>
      <c r="AA330" s="96">
        <f t="shared" si="158"/>
        <v>58</v>
      </c>
      <c r="AB330" s="97">
        <f t="shared" si="159"/>
        <v>0</v>
      </c>
      <c r="AC330" s="97">
        <f t="shared" si="160"/>
        <v>3962.5699999999997</v>
      </c>
      <c r="AD330" s="98">
        <v>3962.57</v>
      </c>
      <c r="AE330" s="98">
        <v>4034.4</v>
      </c>
      <c r="AF330" s="98">
        <v>4037.4</v>
      </c>
      <c r="AG330" s="98">
        <f t="shared" si="161"/>
        <v>74.829999999999927</v>
      </c>
      <c r="AH330" s="99">
        <v>1398.7</v>
      </c>
      <c r="AI330" s="100">
        <f t="shared" si="162"/>
        <v>5647111.3799999999</v>
      </c>
      <c r="AJ330" s="100">
        <f>(0.2*AH330)*2</f>
        <v>559.48</v>
      </c>
      <c r="AK330" s="100">
        <v>0</v>
      </c>
      <c r="AL330" s="100">
        <v>0</v>
      </c>
      <c r="AM330" s="100">
        <v>0</v>
      </c>
      <c r="AN330" s="100">
        <v>0</v>
      </c>
      <c r="AO330" s="100">
        <v>0</v>
      </c>
      <c r="AP330" s="100">
        <f t="shared" si="166"/>
        <v>282384</v>
      </c>
      <c r="AQ330" s="101">
        <f t="shared" si="185"/>
        <v>5930055</v>
      </c>
      <c r="AR330" s="101">
        <v>0</v>
      </c>
      <c r="AS330" s="101">
        <v>0</v>
      </c>
      <c r="AT330" s="102" t="s">
        <v>33</v>
      </c>
      <c r="AU330" s="157" t="s">
        <v>118</v>
      </c>
      <c r="AV330" s="100">
        <v>0</v>
      </c>
      <c r="AW330" s="105"/>
      <c r="AX330" s="106">
        <f t="shared" si="178"/>
        <v>1.8534205181552466</v>
      </c>
      <c r="AY330" s="101">
        <f t="shared" si="179"/>
        <v>104665</v>
      </c>
      <c r="AZ330" s="107"/>
      <c r="BA330" s="114">
        <v>45459.229166666664</v>
      </c>
      <c r="BB330" s="114">
        <v>45459.239583333336</v>
      </c>
      <c r="BC330" s="114">
        <v>45459.251388888886</v>
      </c>
      <c r="BD330" s="114">
        <v>45459.40625</v>
      </c>
      <c r="BE330" s="165">
        <f t="shared" si="180"/>
        <v>0.17708333333575865</v>
      </c>
      <c r="BF330" s="165">
        <v>1.1805555555555555E-2</v>
      </c>
      <c r="BG330" s="165">
        <v>1.1805555555555555E-2</v>
      </c>
      <c r="BH330" s="165">
        <f t="shared" si="181"/>
        <v>1.0416666671517305E-2</v>
      </c>
      <c r="BI330" s="165">
        <f t="shared" si="181"/>
        <v>1.1805555550381541E-2</v>
      </c>
      <c r="BJ330" s="165">
        <f t="shared" si="181"/>
        <v>0.15486111111385981</v>
      </c>
      <c r="BK330" s="165">
        <f t="shared" si="182"/>
        <v>0.16666666666424135</v>
      </c>
      <c r="BL330" s="165">
        <f t="shared" si="183"/>
        <v>0.14305555555313021</v>
      </c>
      <c r="BM330" s="165" t="str">
        <f t="shared" si="184"/>
        <v>00:00</v>
      </c>
      <c r="BN330" s="110"/>
    </row>
    <row r="331" spans="1:66" s="8" customFormat="1" ht="12.75" customHeight="1" x14ac:dyDescent="0.25">
      <c r="A331" s="150">
        <v>292</v>
      </c>
      <c r="B331" s="150">
        <v>57</v>
      </c>
      <c r="C331" s="90">
        <v>21</v>
      </c>
      <c r="D331" s="90" t="s">
        <v>113</v>
      </c>
      <c r="E331" s="91" t="s">
        <v>319</v>
      </c>
      <c r="F331" s="90" t="s">
        <v>32</v>
      </c>
      <c r="G331" s="90" t="s">
        <v>8</v>
      </c>
      <c r="H331" s="90" t="s">
        <v>120</v>
      </c>
      <c r="I331" s="135" t="s">
        <v>482</v>
      </c>
      <c r="J331" s="151">
        <v>45459</v>
      </c>
      <c r="K331" s="135" t="s">
        <v>122</v>
      </c>
      <c r="L331" s="135">
        <v>261005764</v>
      </c>
      <c r="M331" s="151">
        <v>45460</v>
      </c>
      <c r="N331" s="152">
        <v>45459.59375</v>
      </c>
      <c r="O331" s="152">
        <v>45459.59375</v>
      </c>
      <c r="P331" s="152">
        <v>45459.604166666664</v>
      </c>
      <c r="Q331" s="152">
        <v>45459.802083333336</v>
      </c>
      <c r="R331" s="152" t="s">
        <v>118</v>
      </c>
      <c r="S331" s="152" t="s">
        <v>118</v>
      </c>
      <c r="T331" s="152">
        <v>45459.927083333336</v>
      </c>
      <c r="U331" s="152">
        <v>45460.048611111109</v>
      </c>
      <c r="V331" s="165">
        <f t="shared" si="176"/>
        <v>0.20833333333575865</v>
      </c>
      <c r="W331" s="95">
        <v>0.20833333333333334</v>
      </c>
      <c r="X331" s="165">
        <f t="shared" si="177"/>
        <v>2.4253099528692701E-12</v>
      </c>
      <c r="Y331" s="96">
        <v>0</v>
      </c>
      <c r="Z331" s="96">
        <v>59</v>
      </c>
      <c r="AA331" s="96">
        <f t="shared" si="158"/>
        <v>59</v>
      </c>
      <c r="AB331" s="97">
        <f t="shared" si="159"/>
        <v>0</v>
      </c>
      <c r="AC331" s="97">
        <f t="shared" si="160"/>
        <v>4116.8100000000004</v>
      </c>
      <c r="AD331" s="98">
        <v>4116.8100000000004</v>
      </c>
      <c r="AE331" s="98">
        <v>4124</v>
      </c>
      <c r="AF331" s="98">
        <v>4138.8</v>
      </c>
      <c r="AG331" s="98">
        <f t="shared" si="161"/>
        <v>21.989999999999782</v>
      </c>
      <c r="AH331" s="99">
        <v>1398.7</v>
      </c>
      <c r="AI331" s="100">
        <f t="shared" si="162"/>
        <v>5788939.5600000005</v>
      </c>
      <c r="AJ331" s="100">
        <f>(0*AH331)*2</f>
        <v>0</v>
      </c>
      <c r="AK331" s="100">
        <v>0</v>
      </c>
      <c r="AL331" s="100">
        <v>24290</v>
      </c>
      <c r="AM331" s="100">
        <v>0</v>
      </c>
      <c r="AN331" s="100">
        <v>0</v>
      </c>
      <c r="AO331" s="100">
        <v>0</v>
      </c>
      <c r="AP331" s="100">
        <f t="shared" si="166"/>
        <v>290662</v>
      </c>
      <c r="AQ331" s="101">
        <f t="shared" si="185"/>
        <v>6103892</v>
      </c>
      <c r="AR331" s="101">
        <v>0</v>
      </c>
      <c r="AS331" s="101">
        <v>0</v>
      </c>
      <c r="AT331" s="102" t="s">
        <v>33</v>
      </c>
      <c r="AU331" s="157">
        <v>5</v>
      </c>
      <c r="AV331" s="100">
        <v>0</v>
      </c>
      <c r="AW331" s="105"/>
      <c r="AX331" s="106">
        <f t="shared" si="178"/>
        <v>0.53131342418091676</v>
      </c>
      <c r="AY331" s="101">
        <f t="shared" si="179"/>
        <v>30758</v>
      </c>
      <c r="AZ331" s="107"/>
      <c r="BA331" s="114">
        <v>45459.59375</v>
      </c>
      <c r="BB331" s="114">
        <v>45459.604166666664</v>
      </c>
      <c r="BC331" s="114">
        <v>45459.604166666664</v>
      </c>
      <c r="BD331" s="114">
        <v>45459.776388888888</v>
      </c>
      <c r="BE331" s="165">
        <f t="shared" si="180"/>
        <v>0.18263888888759539</v>
      </c>
      <c r="BF331" s="165">
        <v>2.2916666666666665E-2</v>
      </c>
      <c r="BG331" s="165">
        <v>1.8055555555555554E-2</v>
      </c>
      <c r="BH331" s="165">
        <f t="shared" si="181"/>
        <v>1.0416666664241347E-2</v>
      </c>
      <c r="BI331" s="165">
        <f t="shared" si="181"/>
        <v>0</v>
      </c>
      <c r="BJ331" s="165">
        <f t="shared" si="181"/>
        <v>0.17222222222335404</v>
      </c>
      <c r="BK331" s="165">
        <f t="shared" si="182"/>
        <v>0.17222222222335404</v>
      </c>
      <c r="BL331" s="165">
        <f t="shared" si="183"/>
        <v>0.13125000000113182</v>
      </c>
      <c r="BM331" s="165" t="str">
        <f t="shared" si="184"/>
        <v>00:00</v>
      </c>
      <c r="BN331" s="110"/>
    </row>
    <row r="332" spans="1:66" s="8" customFormat="1" ht="12.75" customHeight="1" x14ac:dyDescent="0.25">
      <c r="A332" s="153">
        <v>293</v>
      </c>
      <c r="B332" s="150">
        <v>58</v>
      </c>
      <c r="C332" s="90">
        <v>1</v>
      </c>
      <c r="D332" s="90" t="s">
        <v>113</v>
      </c>
      <c r="E332" s="91" t="s">
        <v>483</v>
      </c>
      <c r="F332" s="90" t="s">
        <v>32</v>
      </c>
      <c r="G332" s="90" t="s">
        <v>15</v>
      </c>
      <c r="H332" s="90" t="s">
        <v>146</v>
      </c>
      <c r="I332" s="135" t="s">
        <v>484</v>
      </c>
      <c r="J332" s="151">
        <v>45459</v>
      </c>
      <c r="K332" s="135" t="s">
        <v>117</v>
      </c>
      <c r="L332" s="135">
        <v>261005765</v>
      </c>
      <c r="M332" s="151">
        <v>45460</v>
      </c>
      <c r="N332" s="152">
        <v>45459.78125</v>
      </c>
      <c r="O332" s="152">
        <v>45459.78125</v>
      </c>
      <c r="P332" s="152">
        <v>45459.784722222219</v>
      </c>
      <c r="Q332" s="152">
        <v>45459.989583333336</v>
      </c>
      <c r="R332" s="152" t="s">
        <v>118</v>
      </c>
      <c r="S332" s="152">
        <v>45460.034722222219</v>
      </c>
      <c r="T332" s="152">
        <v>45460.104166666664</v>
      </c>
      <c r="U332" s="152">
        <v>45460.21875</v>
      </c>
      <c r="V332" s="165">
        <f t="shared" si="176"/>
        <v>0.20833333333575865</v>
      </c>
      <c r="W332" s="95">
        <v>0.20833333333333334</v>
      </c>
      <c r="X332" s="165">
        <f t="shared" si="177"/>
        <v>2.4253099528692701E-12</v>
      </c>
      <c r="Y332" s="96">
        <v>0</v>
      </c>
      <c r="Z332" s="96">
        <v>59</v>
      </c>
      <c r="AA332" s="96">
        <f t="shared" si="158"/>
        <v>59</v>
      </c>
      <c r="AB332" s="97">
        <f t="shared" si="159"/>
        <v>0</v>
      </c>
      <c r="AC332" s="97">
        <f t="shared" si="160"/>
        <v>4079.6799999999994</v>
      </c>
      <c r="AD332" s="98">
        <v>4079.68</v>
      </c>
      <c r="AE332" s="98">
        <v>4099</v>
      </c>
      <c r="AF332" s="98">
        <v>4121.2</v>
      </c>
      <c r="AG332" s="98">
        <f t="shared" si="161"/>
        <v>41.519999999999982</v>
      </c>
      <c r="AH332" s="99">
        <v>1398.7</v>
      </c>
      <c r="AI332" s="100">
        <f t="shared" si="162"/>
        <v>5764322.4399999995</v>
      </c>
      <c r="AJ332" s="100">
        <f>(0*AH332)*2</f>
        <v>0</v>
      </c>
      <c r="AK332" s="100">
        <v>0</v>
      </c>
      <c r="AL332" s="100">
        <v>24290</v>
      </c>
      <c r="AM332" s="100">
        <v>0</v>
      </c>
      <c r="AN332" s="100">
        <v>0</v>
      </c>
      <c r="AO332" s="100">
        <v>0</v>
      </c>
      <c r="AP332" s="100">
        <f t="shared" si="166"/>
        <v>289431</v>
      </c>
      <c r="AQ332" s="101">
        <f t="shared" si="185"/>
        <v>6078044</v>
      </c>
      <c r="AR332" s="101">
        <v>0</v>
      </c>
      <c r="AS332" s="101">
        <v>0</v>
      </c>
      <c r="AT332" s="102" t="s">
        <v>33</v>
      </c>
      <c r="AU332" s="157">
        <v>13</v>
      </c>
      <c r="AV332" s="100">
        <f>31.47-18.97</f>
        <v>12.5</v>
      </c>
      <c r="AW332" s="105"/>
      <c r="AX332" s="106">
        <f t="shared" si="178"/>
        <v>1.0074735513927977</v>
      </c>
      <c r="AY332" s="101">
        <f t="shared" si="179"/>
        <v>58075</v>
      </c>
      <c r="AZ332" s="107"/>
      <c r="BA332" s="94">
        <v>45459.78125</v>
      </c>
      <c r="BB332" s="94">
        <v>45459.784722222219</v>
      </c>
      <c r="BC332" s="94">
        <v>45459.818749999999</v>
      </c>
      <c r="BD332" s="94">
        <v>45460.026388888888</v>
      </c>
      <c r="BE332" s="95">
        <f t="shared" si="180"/>
        <v>0.24513888888759539</v>
      </c>
      <c r="BF332" s="95">
        <v>1.5277777777777777E-2</v>
      </c>
      <c r="BG332" s="95">
        <v>0.12013888888888889</v>
      </c>
      <c r="BH332" s="95">
        <f t="shared" si="181"/>
        <v>3.4722222189884633E-3</v>
      </c>
      <c r="BI332" s="95">
        <f t="shared" si="181"/>
        <v>3.4027777779556345E-2</v>
      </c>
      <c r="BJ332" s="95">
        <f t="shared" si="181"/>
        <v>0.20763888888905058</v>
      </c>
      <c r="BK332" s="95">
        <f t="shared" si="182"/>
        <v>0.24166666666860692</v>
      </c>
      <c r="BL332" s="95">
        <f t="shared" si="183"/>
        <v>0.10625000000194025</v>
      </c>
      <c r="BM332" s="95">
        <f t="shared" si="184"/>
        <v>3.6805555554262043E-2</v>
      </c>
      <c r="BN332" s="110"/>
    </row>
    <row r="333" spans="1:66" s="8" customFormat="1" ht="12.75" customHeight="1" x14ac:dyDescent="0.25">
      <c r="A333" s="115">
        <v>294</v>
      </c>
      <c r="B333" s="115">
        <v>59</v>
      </c>
      <c r="C333" s="115">
        <v>14</v>
      </c>
      <c r="D333" s="115" t="s">
        <v>148</v>
      </c>
      <c r="E333" s="91" t="s">
        <v>438</v>
      </c>
      <c r="F333" s="154" t="s">
        <v>16</v>
      </c>
      <c r="G333" s="154" t="s">
        <v>17</v>
      </c>
      <c r="H333" s="154" t="s">
        <v>150</v>
      </c>
      <c r="I333" s="116" t="s">
        <v>485</v>
      </c>
      <c r="J333" s="117">
        <v>45458</v>
      </c>
      <c r="K333" s="116" t="s">
        <v>122</v>
      </c>
      <c r="L333" s="116">
        <v>461000298</v>
      </c>
      <c r="M333" s="117">
        <v>45460</v>
      </c>
      <c r="N333" s="118">
        <v>45460.104166666664</v>
      </c>
      <c r="O333" s="118">
        <v>45460.09375</v>
      </c>
      <c r="P333" s="118">
        <v>45460.107638888891</v>
      </c>
      <c r="Q333" s="118">
        <v>45460.302083333336</v>
      </c>
      <c r="R333" s="118">
        <v>45460.104166666664</v>
      </c>
      <c r="S333" s="118" t="s">
        <v>118</v>
      </c>
      <c r="T333" s="118">
        <v>45460.375</v>
      </c>
      <c r="U333" s="118">
        <v>45460.5</v>
      </c>
      <c r="V333" s="119">
        <f t="shared" si="176"/>
        <v>0.20833333333575865</v>
      </c>
      <c r="W333" s="119">
        <v>0.20833333333333334</v>
      </c>
      <c r="X333" s="119">
        <f t="shared" si="177"/>
        <v>2.4253099528692701E-12</v>
      </c>
      <c r="Y333" s="96">
        <v>0</v>
      </c>
      <c r="Z333" s="96">
        <v>49</v>
      </c>
      <c r="AA333" s="96">
        <f t="shared" si="158"/>
        <v>49</v>
      </c>
      <c r="AB333" s="97">
        <f t="shared" si="159"/>
        <v>0</v>
      </c>
      <c r="AC333" s="97">
        <f t="shared" si="160"/>
        <v>3323.46</v>
      </c>
      <c r="AD333" s="98">
        <f>4071.09-747.63</f>
        <v>3323.46</v>
      </c>
      <c r="AE333" s="98">
        <f>4091.2-694.8</f>
        <v>3396.3999999999996</v>
      </c>
      <c r="AF333" s="98">
        <f>4107.4-701.69</f>
        <v>3405.7099999999996</v>
      </c>
      <c r="AG333" s="98">
        <f t="shared" si="161"/>
        <v>82.249999999999545</v>
      </c>
      <c r="AH333" s="99">
        <v>672.5</v>
      </c>
      <c r="AI333" s="100">
        <f t="shared" si="162"/>
        <v>2290339.9749999996</v>
      </c>
      <c r="AJ333" s="100">
        <f>(0*AH333)*2</f>
        <v>0</v>
      </c>
      <c r="AK333" s="100">
        <v>0</v>
      </c>
      <c r="AL333" s="100">
        <v>24290</v>
      </c>
      <c r="AM333" s="100">
        <v>0</v>
      </c>
      <c r="AN333" s="100">
        <v>0</v>
      </c>
      <c r="AO333" s="100">
        <v>0</v>
      </c>
      <c r="AP333" s="100">
        <f>ROUNDUP(SUM(AI333:AO333)*5%,0)-1</f>
        <v>115731</v>
      </c>
      <c r="AQ333" s="101">
        <f t="shared" si="185"/>
        <v>2430361</v>
      </c>
      <c r="AR333" s="101">
        <v>0</v>
      </c>
      <c r="AS333" s="101">
        <v>0</v>
      </c>
      <c r="AT333" s="102" t="s">
        <v>33</v>
      </c>
      <c r="AU333" s="158">
        <v>7</v>
      </c>
      <c r="AV333" s="121">
        <f>21.68-14.18</f>
        <v>7.5</v>
      </c>
      <c r="AW333" s="139"/>
      <c r="AX333" s="140">
        <f>IFERROR(((AG333+AG334)/(AF333+AF334))*100, "")</f>
        <v>0.88401421824023974</v>
      </c>
      <c r="AY333" s="141">
        <f>ROUNDUP((AG333+AG334)*AH333,0)</f>
        <v>24419</v>
      </c>
      <c r="AZ333" s="107"/>
      <c r="BA333" s="118">
        <v>45460.104166666664</v>
      </c>
      <c r="BB333" s="118">
        <v>45460.107638888891</v>
      </c>
      <c r="BC333" s="118">
        <v>45460.107638888891</v>
      </c>
      <c r="BD333" s="118">
        <v>45460.231249999997</v>
      </c>
      <c r="BE333" s="119">
        <f t="shared" si="180"/>
        <v>0.12708333333284827</v>
      </c>
      <c r="BF333" s="119">
        <v>0</v>
      </c>
      <c r="BG333" s="119">
        <v>0</v>
      </c>
      <c r="BH333" s="119">
        <f t="shared" si="181"/>
        <v>3.4722222262644209E-3</v>
      </c>
      <c r="BI333" s="119">
        <f t="shared" si="181"/>
        <v>0</v>
      </c>
      <c r="BJ333" s="119">
        <f t="shared" si="181"/>
        <v>0.12361111110658385</v>
      </c>
      <c r="BK333" s="119">
        <f t="shared" si="182"/>
        <v>0.12361111110658385</v>
      </c>
      <c r="BL333" s="119">
        <f t="shared" si="183"/>
        <v>0.12361111110658385</v>
      </c>
      <c r="BM333" s="119" t="str">
        <f t="shared" si="184"/>
        <v>00:00</v>
      </c>
      <c r="BN333" s="110" t="s">
        <v>486</v>
      </c>
    </row>
    <row r="334" spans="1:66" s="8" customFormat="1" ht="12.75" customHeight="1" x14ac:dyDescent="0.25">
      <c r="A334" s="122"/>
      <c r="B334" s="122"/>
      <c r="C334" s="122"/>
      <c r="D334" s="122"/>
      <c r="E334" s="91" t="s">
        <v>487</v>
      </c>
      <c r="F334" s="155"/>
      <c r="G334" s="155"/>
      <c r="H334" s="155"/>
      <c r="I334" s="123"/>
      <c r="J334" s="124"/>
      <c r="K334" s="123"/>
      <c r="L334" s="123"/>
      <c r="M334" s="124"/>
      <c r="N334" s="125"/>
      <c r="O334" s="125"/>
      <c r="P334" s="125"/>
      <c r="Q334" s="125"/>
      <c r="R334" s="125"/>
      <c r="S334" s="125"/>
      <c r="T334" s="125"/>
      <c r="U334" s="125"/>
      <c r="V334" s="126"/>
      <c r="W334" s="126"/>
      <c r="X334" s="126"/>
      <c r="Y334" s="96">
        <v>0</v>
      </c>
      <c r="Z334" s="96">
        <v>10</v>
      </c>
      <c r="AA334" s="96">
        <f t="shared" si="158"/>
        <v>10</v>
      </c>
      <c r="AB334" s="97">
        <f t="shared" si="159"/>
        <v>0</v>
      </c>
      <c r="AC334" s="97">
        <f t="shared" si="160"/>
        <v>747.63000000000011</v>
      </c>
      <c r="AD334" s="98">
        <v>747.63</v>
      </c>
      <c r="AE334" s="98">
        <v>694.8</v>
      </c>
      <c r="AF334" s="98">
        <v>701.69</v>
      </c>
      <c r="AG334" s="98">
        <f t="shared" si="161"/>
        <v>-45.939999999999941</v>
      </c>
      <c r="AH334" s="99">
        <v>672.5</v>
      </c>
      <c r="AI334" s="100">
        <f t="shared" si="162"/>
        <v>471886.52500000002</v>
      </c>
      <c r="AJ334" s="100">
        <f>(0*AH334)*2</f>
        <v>0</v>
      </c>
      <c r="AK334" s="100">
        <v>0</v>
      </c>
      <c r="AL334" s="100">
        <v>0</v>
      </c>
      <c r="AM334" s="100">
        <v>0</v>
      </c>
      <c r="AN334" s="100">
        <v>0</v>
      </c>
      <c r="AO334" s="100">
        <v>0</v>
      </c>
      <c r="AP334" s="100">
        <f>ROUNDUP(SUM(AI334:AO334)*5%,0)</f>
        <v>23595</v>
      </c>
      <c r="AQ334" s="101">
        <f t="shared" si="185"/>
        <v>495482</v>
      </c>
      <c r="AR334" s="101">
        <v>0</v>
      </c>
      <c r="AS334" s="101">
        <v>0</v>
      </c>
      <c r="AT334" s="102" t="s">
        <v>33</v>
      </c>
      <c r="AU334" s="159"/>
      <c r="AV334" s="128"/>
      <c r="AW334" s="143"/>
      <c r="AX334" s="144"/>
      <c r="AY334" s="145"/>
      <c r="AZ334" s="107"/>
      <c r="BA334" s="125"/>
      <c r="BB334" s="125"/>
      <c r="BC334" s="125"/>
      <c r="BD334" s="125"/>
      <c r="BE334" s="126"/>
      <c r="BF334" s="126"/>
      <c r="BG334" s="126"/>
      <c r="BH334" s="126"/>
      <c r="BI334" s="126"/>
      <c r="BJ334" s="126"/>
      <c r="BK334" s="126"/>
      <c r="BL334" s="126"/>
      <c r="BM334" s="126"/>
      <c r="BN334" s="110" t="s">
        <v>488</v>
      </c>
    </row>
    <row r="335" spans="1:66" s="8" customFormat="1" ht="12.75" customHeight="1" x14ac:dyDescent="0.25">
      <c r="A335" s="150">
        <v>295</v>
      </c>
      <c r="B335" s="150">
        <v>60</v>
      </c>
      <c r="C335" s="90">
        <v>1</v>
      </c>
      <c r="D335" s="90" t="s">
        <v>148</v>
      </c>
      <c r="E335" s="91" t="s">
        <v>487</v>
      </c>
      <c r="F335" s="90" t="s">
        <v>16</v>
      </c>
      <c r="G335" s="90" t="s">
        <v>17</v>
      </c>
      <c r="H335" s="90" t="s">
        <v>150</v>
      </c>
      <c r="I335" s="135" t="s">
        <v>489</v>
      </c>
      <c r="J335" s="151">
        <v>45458</v>
      </c>
      <c r="K335" s="135" t="s">
        <v>117</v>
      </c>
      <c r="L335" s="135">
        <v>461000299</v>
      </c>
      <c r="M335" s="151">
        <v>45460</v>
      </c>
      <c r="N335" s="152">
        <v>45460.25</v>
      </c>
      <c r="O335" s="152">
        <v>45460.239583333336</v>
      </c>
      <c r="P335" s="152">
        <v>45460.253472222219</v>
      </c>
      <c r="Q335" s="152">
        <v>45460.447916666664</v>
      </c>
      <c r="R335" s="152">
        <v>45460.25</v>
      </c>
      <c r="S335" s="152" t="s">
        <v>118</v>
      </c>
      <c r="T335" s="152">
        <v>45460.458333333336</v>
      </c>
      <c r="U335" s="152">
        <v>45460.618055555555</v>
      </c>
      <c r="V335" s="165">
        <f>+Q335-O335</f>
        <v>0.20833333332848269</v>
      </c>
      <c r="W335" s="95">
        <v>0.20833333333333334</v>
      </c>
      <c r="X335" s="165" t="str">
        <f>IF(VALUE(V335)&lt;=VALUE("05:00"),"00:00",VALUE(V335)-VALUE("05:00"))</f>
        <v>00:00</v>
      </c>
      <c r="Y335" s="96">
        <v>0</v>
      </c>
      <c r="Z335" s="96">
        <v>58</v>
      </c>
      <c r="AA335" s="96">
        <f t="shared" si="158"/>
        <v>58</v>
      </c>
      <c r="AB335" s="97">
        <f t="shared" si="159"/>
        <v>0</v>
      </c>
      <c r="AC335" s="97">
        <f t="shared" si="160"/>
        <v>4037.97</v>
      </c>
      <c r="AD335" s="98">
        <v>4037.97</v>
      </c>
      <c r="AE335" s="98">
        <v>4051</v>
      </c>
      <c r="AF335" s="98">
        <v>4061.2</v>
      </c>
      <c r="AG335" s="98">
        <f t="shared" si="161"/>
        <v>23.230000000000018</v>
      </c>
      <c r="AH335" s="99">
        <v>672.5</v>
      </c>
      <c r="AI335" s="100">
        <f t="shared" si="162"/>
        <v>2731157</v>
      </c>
      <c r="AJ335" s="100">
        <f>(0*AH335)*2</f>
        <v>0</v>
      </c>
      <c r="AK335" s="100">
        <v>0</v>
      </c>
      <c r="AL335" s="100">
        <v>24140</v>
      </c>
      <c r="AM335" s="100">
        <v>0</v>
      </c>
      <c r="AN335" s="100">
        <v>0</v>
      </c>
      <c r="AO335" s="100">
        <v>0</v>
      </c>
      <c r="AP335" s="100">
        <f>ROUNDUP(SUM(AI335:AO335)*5%,0)</f>
        <v>137765</v>
      </c>
      <c r="AQ335" s="101">
        <f t="shared" si="185"/>
        <v>2893062</v>
      </c>
      <c r="AR335" s="101">
        <v>0</v>
      </c>
      <c r="AS335" s="101">
        <v>0</v>
      </c>
      <c r="AT335" s="102" t="s">
        <v>33</v>
      </c>
      <c r="AU335" s="157">
        <v>4</v>
      </c>
      <c r="AV335" s="100">
        <f>14.2-9.2</f>
        <v>5</v>
      </c>
      <c r="AW335" s="105"/>
      <c r="AX335" s="106">
        <f>IFERROR((AG335/AF335)*100, "")</f>
        <v>0.57199842411110058</v>
      </c>
      <c r="AY335" s="101">
        <f>ROUNDUP(AG335*AH335,0)</f>
        <v>15623</v>
      </c>
      <c r="AZ335" s="107"/>
      <c r="BA335" s="94">
        <v>45460.25</v>
      </c>
      <c r="BB335" s="94">
        <v>45460.253472222219</v>
      </c>
      <c r="BC335" s="94">
        <v>45460.253472222219</v>
      </c>
      <c r="BD335" s="94">
        <v>45460.381944444445</v>
      </c>
      <c r="BE335" s="95">
        <f>+BD335-BA335</f>
        <v>0.13194444444525288</v>
      </c>
      <c r="BF335" s="95">
        <v>2.7777777777777779E-3</v>
      </c>
      <c r="BG335" s="95">
        <v>0</v>
      </c>
      <c r="BH335" s="95">
        <f t="shared" ref="BH335:BJ337" si="186">+BB335-BA335</f>
        <v>3.4722222189884633E-3</v>
      </c>
      <c r="BI335" s="95">
        <f t="shared" si="186"/>
        <v>0</v>
      </c>
      <c r="BJ335" s="95">
        <f t="shared" si="186"/>
        <v>0.12847222222626442</v>
      </c>
      <c r="BK335" s="95">
        <f>+BI335+BJ335</f>
        <v>0.12847222222626442</v>
      </c>
      <c r="BL335" s="95">
        <f>+BE335-BH335-BF335-BG335</f>
        <v>0.12569444444848665</v>
      </c>
      <c r="BM335" s="95" t="str">
        <f>IF(VALUE(BE335)&lt;=VALUE("05:00"),"00:00",VALUE(BE335)-VALUE("05:00"))</f>
        <v>00:00</v>
      </c>
      <c r="BN335" s="110"/>
    </row>
    <row r="336" spans="1:66" s="8" customFormat="1" ht="12.75" customHeight="1" x14ac:dyDescent="0.25">
      <c r="A336" s="150">
        <v>296</v>
      </c>
      <c r="B336" s="150">
        <v>61</v>
      </c>
      <c r="C336" s="90">
        <v>2</v>
      </c>
      <c r="D336" s="90" t="s">
        <v>148</v>
      </c>
      <c r="E336" s="91" t="s">
        <v>487</v>
      </c>
      <c r="F336" s="90" t="s">
        <v>16</v>
      </c>
      <c r="G336" s="90" t="s">
        <v>17</v>
      </c>
      <c r="H336" s="90" t="s">
        <v>150</v>
      </c>
      <c r="I336" s="135" t="s">
        <v>490</v>
      </c>
      <c r="J336" s="151">
        <v>45458</v>
      </c>
      <c r="K336" s="135" t="s">
        <v>491</v>
      </c>
      <c r="L336" s="135">
        <v>461000300</v>
      </c>
      <c r="M336" s="151">
        <v>45461</v>
      </c>
      <c r="N336" s="152">
        <v>45460.71875</v>
      </c>
      <c r="O336" s="152">
        <v>45460.71875</v>
      </c>
      <c r="P336" s="152">
        <v>45460.75</v>
      </c>
      <c r="Q336" s="152">
        <v>45460.916666666664</v>
      </c>
      <c r="R336" s="152" t="s">
        <v>118</v>
      </c>
      <c r="S336" s="152" t="s">
        <v>118</v>
      </c>
      <c r="T336" s="152">
        <v>45460.96875</v>
      </c>
      <c r="U336" s="152">
        <v>45461.081944444442</v>
      </c>
      <c r="V336" s="165">
        <f>+Q336-O336</f>
        <v>0.19791666666424135</v>
      </c>
      <c r="W336" s="95">
        <v>0.20833333333333334</v>
      </c>
      <c r="X336" s="165" t="str">
        <f>IF(VALUE(V336)&lt;=VALUE("05:00"),"00:00",VALUE(V336)-VALUE("05:00"))</f>
        <v>00:00</v>
      </c>
      <c r="Y336" s="96">
        <v>2</v>
      </c>
      <c r="Z336" s="96">
        <v>57</v>
      </c>
      <c r="AA336" s="96">
        <f t="shared" si="158"/>
        <v>59</v>
      </c>
      <c r="AB336" s="97">
        <f t="shared" si="159"/>
        <v>137.12677966101694</v>
      </c>
      <c r="AC336" s="97">
        <f t="shared" si="160"/>
        <v>3908.113220338983</v>
      </c>
      <c r="AD336" s="98">
        <v>4045.24</v>
      </c>
      <c r="AE336" s="98">
        <v>4101.2</v>
      </c>
      <c r="AF336" s="98">
        <v>4104.3999999999996</v>
      </c>
      <c r="AG336" s="98">
        <f t="shared" si="161"/>
        <v>59.159999999999854</v>
      </c>
      <c r="AH336" s="99">
        <v>672.5</v>
      </c>
      <c r="AI336" s="100">
        <f t="shared" si="162"/>
        <v>2760208.9999999995</v>
      </c>
      <c r="AJ336" s="100">
        <f>(0.4*AH336)*2</f>
        <v>538</v>
      </c>
      <c r="AK336" s="100">
        <v>0</v>
      </c>
      <c r="AL336" s="100">
        <v>0</v>
      </c>
      <c r="AM336" s="100">
        <v>0</v>
      </c>
      <c r="AN336" s="100">
        <v>0</v>
      </c>
      <c r="AO336" s="100">
        <v>0</v>
      </c>
      <c r="AP336" s="100">
        <f>ROUNDUP(SUM(AI336:AO336)*5%,0)</f>
        <v>138038</v>
      </c>
      <c r="AQ336" s="101">
        <f t="shared" si="185"/>
        <v>2898785</v>
      </c>
      <c r="AR336" s="101">
        <v>0</v>
      </c>
      <c r="AS336" s="101">
        <v>0</v>
      </c>
      <c r="AT336" s="102" t="s">
        <v>33</v>
      </c>
      <c r="AU336" s="157" t="s">
        <v>118</v>
      </c>
      <c r="AV336" s="100">
        <v>0</v>
      </c>
      <c r="AW336" s="105"/>
      <c r="AX336" s="106">
        <f>IFERROR((AG336/AF336)*100, "")</f>
        <v>1.4413799824578468</v>
      </c>
      <c r="AY336" s="101">
        <f>ROUNDUP(AG336*AH336,0)</f>
        <v>39786</v>
      </c>
      <c r="AZ336" s="107"/>
      <c r="BA336" s="94">
        <v>45460.71875</v>
      </c>
      <c r="BB336" s="94">
        <v>45460.75</v>
      </c>
      <c r="BC336" s="94">
        <v>45460.75</v>
      </c>
      <c r="BD336" s="94">
        <v>45460.890972222223</v>
      </c>
      <c r="BE336" s="95">
        <f>+BD336-BA336</f>
        <v>0.17222222222335404</v>
      </c>
      <c r="BF336" s="95">
        <v>1.9444444444444445E-2</v>
      </c>
      <c r="BG336" s="95">
        <v>0</v>
      </c>
      <c r="BH336" s="95">
        <f t="shared" si="186"/>
        <v>3.125E-2</v>
      </c>
      <c r="BI336" s="95">
        <f t="shared" si="186"/>
        <v>0</v>
      </c>
      <c r="BJ336" s="95">
        <f t="shared" si="186"/>
        <v>0.14097222222335404</v>
      </c>
      <c r="BK336" s="95">
        <f>+BI336+BJ336</f>
        <v>0.14097222222335404</v>
      </c>
      <c r="BL336" s="95">
        <f>+BE336-BH336-BF336-BG336</f>
        <v>0.12152777777890959</v>
      </c>
      <c r="BM336" s="95" t="str">
        <f>IF(VALUE(BE336)&lt;=VALUE("05:00"),"00:00",VALUE(BE336)-VALUE("05:00"))</f>
        <v>00:00</v>
      </c>
      <c r="BN336" s="110"/>
    </row>
    <row r="337" spans="1:66" s="8" customFormat="1" ht="12.75" customHeight="1" x14ac:dyDescent="0.25">
      <c r="A337" s="115">
        <v>297</v>
      </c>
      <c r="B337" s="115">
        <v>62</v>
      </c>
      <c r="C337" s="115">
        <v>3</v>
      </c>
      <c r="D337" s="115" t="s">
        <v>148</v>
      </c>
      <c r="E337" s="166" t="s">
        <v>487</v>
      </c>
      <c r="F337" s="115" t="s">
        <v>16</v>
      </c>
      <c r="G337" s="115" t="s">
        <v>17</v>
      </c>
      <c r="H337" s="115" t="s">
        <v>150</v>
      </c>
      <c r="I337" s="116" t="s">
        <v>492</v>
      </c>
      <c r="J337" s="117">
        <v>45459</v>
      </c>
      <c r="K337" s="135" t="s">
        <v>117</v>
      </c>
      <c r="L337" s="116">
        <v>461000301</v>
      </c>
      <c r="M337" s="117">
        <v>45461</v>
      </c>
      <c r="N337" s="118">
        <v>45461.125</v>
      </c>
      <c r="O337" s="118">
        <v>45461.114583333336</v>
      </c>
      <c r="P337" s="118">
        <v>45461.135416666664</v>
      </c>
      <c r="Q337" s="118">
        <v>45461.322916666664</v>
      </c>
      <c r="R337" s="118">
        <v>45461.125</v>
      </c>
      <c r="S337" s="118" t="s">
        <v>118</v>
      </c>
      <c r="T337" s="118">
        <v>45461.5</v>
      </c>
      <c r="U337" s="118">
        <v>45461.605555555558</v>
      </c>
      <c r="V337" s="119">
        <f>+Q337-O337</f>
        <v>0.20833333332848269</v>
      </c>
      <c r="W337" s="119">
        <v>0.20833333333333334</v>
      </c>
      <c r="X337" s="119" t="str">
        <f>IF(VALUE(V337)&lt;=VALUE("05:00"),"00:00",VALUE(V337)-VALUE("05:00"))</f>
        <v>00:00</v>
      </c>
      <c r="Y337" s="96">
        <v>1</v>
      </c>
      <c r="Z337" s="96">
        <v>29</v>
      </c>
      <c r="AA337" s="96">
        <f t="shared" si="158"/>
        <v>30</v>
      </c>
      <c r="AB337" s="97">
        <f t="shared" si="159"/>
        <v>69.028999999999996</v>
      </c>
      <c r="AC337" s="97">
        <f t="shared" si="160"/>
        <v>2001.8409999999999</v>
      </c>
      <c r="AD337" s="98">
        <f>4072.87-2002</f>
        <v>2070.87</v>
      </c>
      <c r="AE337" s="98">
        <v>2091.5</v>
      </c>
      <c r="AF337" s="98">
        <v>2091.9</v>
      </c>
      <c r="AG337" s="98">
        <f t="shared" si="161"/>
        <v>21.0300000000002</v>
      </c>
      <c r="AH337" s="99">
        <v>672.5</v>
      </c>
      <c r="AI337" s="100">
        <f t="shared" si="162"/>
        <v>1406802.75</v>
      </c>
      <c r="AJ337" s="100">
        <f t="shared" ref="AJ337:AJ348" si="187">(0*AH337)*2</f>
        <v>0</v>
      </c>
      <c r="AK337" s="100">
        <v>0</v>
      </c>
      <c r="AL337" s="100">
        <v>24290</v>
      </c>
      <c r="AM337" s="100">
        <v>0</v>
      </c>
      <c r="AN337" s="100">
        <v>0</v>
      </c>
      <c r="AO337" s="100">
        <v>0</v>
      </c>
      <c r="AP337" s="100">
        <f>ROUNDUP(SUM(AI337:AO337)*5%,0)-1</f>
        <v>71554</v>
      </c>
      <c r="AQ337" s="101">
        <f t="shared" si="185"/>
        <v>1502647</v>
      </c>
      <c r="AR337" s="101">
        <v>0</v>
      </c>
      <c r="AS337" s="101">
        <v>0</v>
      </c>
      <c r="AT337" s="137" t="s">
        <v>33</v>
      </c>
      <c r="AU337" s="158">
        <v>1</v>
      </c>
      <c r="AV337" s="121">
        <f>5.07-4.07</f>
        <v>1</v>
      </c>
      <c r="AW337" s="139"/>
      <c r="AX337" s="140">
        <f>IFERROR(((AG337+AG338)/(AF337+AF338))*100, "")</f>
        <v>1.1007236171142769</v>
      </c>
      <c r="AY337" s="141">
        <f>ROUNDUP((AG337+AG338)*AH337,0)</f>
        <v>30485</v>
      </c>
      <c r="AZ337" s="142"/>
      <c r="BA337" s="118">
        <v>45461.125</v>
      </c>
      <c r="BB337" s="118">
        <v>45461.135416666664</v>
      </c>
      <c r="BC337" s="118">
        <v>45461.135416666664</v>
      </c>
      <c r="BD337" s="118">
        <v>45461.29583333333</v>
      </c>
      <c r="BE337" s="119">
        <f>+BD337-BA337</f>
        <v>0.17083333332993789</v>
      </c>
      <c r="BF337" s="119">
        <v>0</v>
      </c>
      <c r="BG337" s="119">
        <v>3.3333333333333333E-2</v>
      </c>
      <c r="BH337" s="119">
        <f t="shared" si="186"/>
        <v>1.0416666664241347E-2</v>
      </c>
      <c r="BI337" s="119">
        <f t="shared" si="186"/>
        <v>0</v>
      </c>
      <c r="BJ337" s="119">
        <f t="shared" si="186"/>
        <v>0.16041666666569654</v>
      </c>
      <c r="BK337" s="119">
        <f>+BI337+BJ337</f>
        <v>0.16041666666569654</v>
      </c>
      <c r="BL337" s="119">
        <f>+BE337-BH337-BF337-BG337</f>
        <v>0.12708333333236321</v>
      </c>
      <c r="BM337" s="119" t="str">
        <f>IF(VALUE(BE337)&lt;=VALUE("05:00"),"00:00",VALUE(BE337)-VALUE("05:00"))</f>
        <v>00:00</v>
      </c>
      <c r="BN337" s="110" t="s">
        <v>493</v>
      </c>
    </row>
    <row r="338" spans="1:66" s="8" customFormat="1" ht="12.75" customHeight="1" x14ac:dyDescent="0.25">
      <c r="A338" s="122"/>
      <c r="B338" s="122"/>
      <c r="C338" s="122"/>
      <c r="D338" s="122"/>
      <c r="E338" s="167"/>
      <c r="F338" s="122"/>
      <c r="G338" s="122"/>
      <c r="H338" s="122"/>
      <c r="I338" s="123"/>
      <c r="J338" s="124"/>
      <c r="K338" s="135" t="s">
        <v>122</v>
      </c>
      <c r="L338" s="123"/>
      <c r="M338" s="124"/>
      <c r="N338" s="125"/>
      <c r="O338" s="125"/>
      <c r="P338" s="125"/>
      <c r="Q338" s="125"/>
      <c r="R338" s="125"/>
      <c r="S338" s="125"/>
      <c r="T338" s="125"/>
      <c r="U338" s="125"/>
      <c r="V338" s="126"/>
      <c r="W338" s="126"/>
      <c r="X338" s="126"/>
      <c r="Y338" s="96">
        <v>0</v>
      </c>
      <c r="Z338" s="96">
        <v>29</v>
      </c>
      <c r="AA338" s="96">
        <f t="shared" si="158"/>
        <v>29</v>
      </c>
      <c r="AB338" s="97">
        <f t="shared" si="159"/>
        <v>0</v>
      </c>
      <c r="AC338" s="97">
        <f t="shared" si="160"/>
        <v>2001.9999999999998</v>
      </c>
      <c r="AD338" s="98">
        <v>2002</v>
      </c>
      <c r="AE338" s="98">
        <v>2022.3</v>
      </c>
      <c r="AF338" s="98">
        <v>2026.3</v>
      </c>
      <c r="AG338" s="98">
        <f t="shared" si="161"/>
        <v>24.299999999999955</v>
      </c>
      <c r="AH338" s="99">
        <v>672.5</v>
      </c>
      <c r="AI338" s="100">
        <f t="shared" si="162"/>
        <v>1362686.75</v>
      </c>
      <c r="AJ338" s="100">
        <f t="shared" si="187"/>
        <v>0</v>
      </c>
      <c r="AK338" s="100">
        <v>0</v>
      </c>
      <c r="AL338" s="100">
        <v>0</v>
      </c>
      <c r="AM338" s="100">
        <v>0</v>
      </c>
      <c r="AN338" s="100">
        <v>0</v>
      </c>
      <c r="AO338" s="100">
        <v>0</v>
      </c>
      <c r="AP338" s="100">
        <f t="shared" ref="AP338:AP380" si="188">ROUNDUP(SUM(AI338:AO338)*5%,0)</f>
        <v>68135</v>
      </c>
      <c r="AQ338" s="101">
        <f t="shared" si="185"/>
        <v>1430822</v>
      </c>
      <c r="AR338" s="101">
        <v>0</v>
      </c>
      <c r="AS338" s="101">
        <v>0</v>
      </c>
      <c r="AT338" s="138"/>
      <c r="AU338" s="159"/>
      <c r="AV338" s="128"/>
      <c r="AW338" s="143"/>
      <c r="AX338" s="144"/>
      <c r="AY338" s="145"/>
      <c r="AZ338" s="146"/>
      <c r="BA338" s="125"/>
      <c r="BB338" s="125"/>
      <c r="BC338" s="125"/>
      <c r="BD338" s="125"/>
      <c r="BE338" s="126"/>
      <c r="BF338" s="126"/>
      <c r="BG338" s="126"/>
      <c r="BH338" s="126"/>
      <c r="BI338" s="126"/>
      <c r="BJ338" s="126"/>
      <c r="BK338" s="126"/>
      <c r="BL338" s="126"/>
      <c r="BM338" s="126"/>
      <c r="BN338" s="110" t="s">
        <v>494</v>
      </c>
    </row>
    <row r="339" spans="1:66" s="8" customFormat="1" ht="12.75" customHeight="1" x14ac:dyDescent="0.25">
      <c r="A339" s="115">
        <v>298</v>
      </c>
      <c r="B339" s="115">
        <v>63</v>
      </c>
      <c r="C339" s="115">
        <v>4</v>
      </c>
      <c r="D339" s="115" t="s">
        <v>148</v>
      </c>
      <c r="E339" s="166" t="s">
        <v>487</v>
      </c>
      <c r="F339" s="115" t="s">
        <v>16</v>
      </c>
      <c r="G339" s="115" t="s">
        <v>17</v>
      </c>
      <c r="H339" s="115" t="s">
        <v>150</v>
      </c>
      <c r="I339" s="116" t="s">
        <v>495</v>
      </c>
      <c r="J339" s="117">
        <v>45460</v>
      </c>
      <c r="K339" s="135" t="s">
        <v>117</v>
      </c>
      <c r="L339" s="116">
        <v>461000302</v>
      </c>
      <c r="M339" s="117">
        <v>45461</v>
      </c>
      <c r="N339" s="118">
        <v>45461.479166666664</v>
      </c>
      <c r="O339" s="118">
        <v>45461.479166666664</v>
      </c>
      <c r="P339" s="118">
        <v>45461.486111111109</v>
      </c>
      <c r="Q339" s="118">
        <v>45461.6875</v>
      </c>
      <c r="R339" s="118" t="s">
        <v>118</v>
      </c>
      <c r="S339" s="118" t="s">
        <v>118</v>
      </c>
      <c r="T339" s="118">
        <v>45461.75</v>
      </c>
      <c r="U339" s="118">
        <v>45461.795138888891</v>
      </c>
      <c r="V339" s="119">
        <f>+Q339-O339</f>
        <v>0.20833333333575865</v>
      </c>
      <c r="W339" s="119">
        <v>0.20833333333333334</v>
      </c>
      <c r="X339" s="119">
        <f>IF(VALUE(V339)&lt;=VALUE("05:00"),"00:00",VALUE(V339)-VALUE("05:00"))</f>
        <v>2.4253099528692701E-12</v>
      </c>
      <c r="Y339" s="96">
        <v>0</v>
      </c>
      <c r="Z339" s="96">
        <v>30</v>
      </c>
      <c r="AA339" s="96">
        <f t="shared" si="158"/>
        <v>30</v>
      </c>
      <c r="AB339" s="97">
        <f t="shared" si="159"/>
        <v>0</v>
      </c>
      <c r="AC339" s="97">
        <f t="shared" si="160"/>
        <v>2070.0300000000002</v>
      </c>
      <c r="AD339" s="98">
        <f>4077.3-2007.27</f>
        <v>2070.0300000000002</v>
      </c>
      <c r="AE339" s="98">
        <f>4095.2-2011</f>
        <v>2084.1999999999998</v>
      </c>
      <c r="AF339" s="98">
        <f>4108.6-2020.52</f>
        <v>2088.0800000000004</v>
      </c>
      <c r="AG339" s="98">
        <f t="shared" si="161"/>
        <v>18.050000000000182</v>
      </c>
      <c r="AH339" s="99">
        <v>672.5</v>
      </c>
      <c r="AI339" s="100">
        <f t="shared" si="162"/>
        <v>1404233.8000000003</v>
      </c>
      <c r="AJ339" s="100">
        <f t="shared" si="187"/>
        <v>0</v>
      </c>
      <c r="AK339" s="100">
        <v>0</v>
      </c>
      <c r="AL339" s="100">
        <v>24290</v>
      </c>
      <c r="AM339" s="100">
        <v>0</v>
      </c>
      <c r="AN339" s="100">
        <v>0</v>
      </c>
      <c r="AO339" s="100">
        <v>0</v>
      </c>
      <c r="AP339" s="100">
        <f t="shared" si="188"/>
        <v>71427</v>
      </c>
      <c r="AQ339" s="101">
        <f t="shared" si="185"/>
        <v>1499951</v>
      </c>
      <c r="AR339" s="101">
        <v>0</v>
      </c>
      <c r="AS339" s="101">
        <v>0</v>
      </c>
      <c r="AT339" s="137" t="s">
        <v>33</v>
      </c>
      <c r="AU339" s="158">
        <v>4</v>
      </c>
      <c r="AV339" s="121">
        <f>15.26-11.76</f>
        <v>3.5</v>
      </c>
      <c r="AW339" s="139"/>
      <c r="AX339" s="140">
        <f>IFERROR(((AG339+AG340)/(AF339+AF340))*100, "")</f>
        <v>0.76181667721365376</v>
      </c>
      <c r="AY339" s="141">
        <f>ROUNDUP((AG339+AG340)*AH339,0)</f>
        <v>21050</v>
      </c>
      <c r="AZ339" s="142"/>
      <c r="BA339" s="118">
        <v>45461.479166666664</v>
      </c>
      <c r="BB339" s="118">
        <v>45461.486111111109</v>
      </c>
      <c r="BC339" s="118">
        <v>45461.493055555555</v>
      </c>
      <c r="BD339" s="118">
        <v>45461.670138888891</v>
      </c>
      <c r="BE339" s="119">
        <f>+BD339-BA339</f>
        <v>0.19097222222626442</v>
      </c>
      <c r="BF339" s="119">
        <v>6.9444444444444441E-3</v>
      </c>
      <c r="BG339" s="119">
        <v>5.2777777777777778E-2</v>
      </c>
      <c r="BH339" s="119">
        <f>+BB339-BA339</f>
        <v>6.9444444452528842E-3</v>
      </c>
      <c r="BI339" s="119">
        <f>+BC339-BB339</f>
        <v>6.9444444452528842E-3</v>
      </c>
      <c r="BJ339" s="119">
        <f>+BD339-BC339</f>
        <v>0.17708333333575865</v>
      </c>
      <c r="BK339" s="119">
        <f>+BI339+BJ339</f>
        <v>0.18402777778101154</v>
      </c>
      <c r="BL339" s="119">
        <f>+BE339-BH339-BF339-BG339</f>
        <v>0.1243055555587893</v>
      </c>
      <c r="BM339" s="119" t="str">
        <f>IF(VALUE(BE339)&lt;=VALUE("05:00"),"00:00",VALUE(BE339)-VALUE("05:00"))</f>
        <v>00:00</v>
      </c>
      <c r="BN339" s="110" t="s">
        <v>496</v>
      </c>
    </row>
    <row r="340" spans="1:66" s="8" customFormat="1" ht="12.75" customHeight="1" x14ac:dyDescent="0.25">
      <c r="A340" s="122"/>
      <c r="B340" s="122"/>
      <c r="C340" s="122"/>
      <c r="D340" s="122"/>
      <c r="E340" s="167"/>
      <c r="F340" s="122"/>
      <c r="G340" s="122"/>
      <c r="H340" s="122"/>
      <c r="I340" s="123"/>
      <c r="J340" s="124"/>
      <c r="K340" s="135" t="s">
        <v>122</v>
      </c>
      <c r="L340" s="123"/>
      <c r="M340" s="124"/>
      <c r="N340" s="125"/>
      <c r="O340" s="125"/>
      <c r="P340" s="125"/>
      <c r="Q340" s="125"/>
      <c r="R340" s="125"/>
      <c r="S340" s="125"/>
      <c r="T340" s="125"/>
      <c r="U340" s="125"/>
      <c r="V340" s="126"/>
      <c r="W340" s="126"/>
      <c r="X340" s="126"/>
      <c r="Y340" s="96">
        <v>0</v>
      </c>
      <c r="Z340" s="96">
        <v>29</v>
      </c>
      <c r="AA340" s="96">
        <f t="shared" si="158"/>
        <v>29</v>
      </c>
      <c r="AB340" s="97">
        <f t="shared" si="159"/>
        <v>0</v>
      </c>
      <c r="AC340" s="97">
        <f t="shared" si="160"/>
        <v>2007.27</v>
      </c>
      <c r="AD340" s="98">
        <v>2007.27</v>
      </c>
      <c r="AE340" s="98">
        <v>2011</v>
      </c>
      <c r="AF340" s="98">
        <v>2020.52</v>
      </c>
      <c r="AG340" s="98">
        <f t="shared" si="161"/>
        <v>13.25</v>
      </c>
      <c r="AH340" s="99">
        <v>672.5</v>
      </c>
      <c r="AI340" s="100">
        <f t="shared" si="162"/>
        <v>1358799.7</v>
      </c>
      <c r="AJ340" s="100">
        <f t="shared" si="187"/>
        <v>0</v>
      </c>
      <c r="AK340" s="100">
        <v>0</v>
      </c>
      <c r="AL340" s="100">
        <v>0</v>
      </c>
      <c r="AM340" s="100">
        <v>0</v>
      </c>
      <c r="AN340" s="100">
        <v>0</v>
      </c>
      <c r="AO340" s="100">
        <v>0</v>
      </c>
      <c r="AP340" s="100">
        <f t="shared" si="188"/>
        <v>67940</v>
      </c>
      <c r="AQ340" s="101">
        <f t="shared" si="185"/>
        <v>1426740</v>
      </c>
      <c r="AR340" s="101">
        <v>0</v>
      </c>
      <c r="AS340" s="101">
        <v>0</v>
      </c>
      <c r="AT340" s="138"/>
      <c r="AU340" s="159"/>
      <c r="AV340" s="128"/>
      <c r="AW340" s="143"/>
      <c r="AX340" s="144"/>
      <c r="AY340" s="145"/>
      <c r="AZ340" s="146"/>
      <c r="BA340" s="125"/>
      <c r="BB340" s="125"/>
      <c r="BC340" s="125"/>
      <c r="BD340" s="125"/>
      <c r="BE340" s="126"/>
      <c r="BF340" s="126"/>
      <c r="BG340" s="126"/>
      <c r="BH340" s="126"/>
      <c r="BI340" s="126"/>
      <c r="BJ340" s="126"/>
      <c r="BK340" s="126"/>
      <c r="BL340" s="126"/>
      <c r="BM340" s="126"/>
      <c r="BN340" s="110" t="s">
        <v>497</v>
      </c>
    </row>
    <row r="341" spans="1:66" s="8" customFormat="1" ht="12.75" customHeight="1" x14ac:dyDescent="0.25">
      <c r="A341" s="150">
        <v>299</v>
      </c>
      <c r="B341" s="150">
        <v>64</v>
      </c>
      <c r="C341" s="90">
        <v>5</v>
      </c>
      <c r="D341" s="90" t="s">
        <v>148</v>
      </c>
      <c r="E341" s="91" t="s">
        <v>487</v>
      </c>
      <c r="F341" s="90" t="s">
        <v>16</v>
      </c>
      <c r="G341" s="90" t="s">
        <v>17</v>
      </c>
      <c r="H341" s="90" t="s">
        <v>150</v>
      </c>
      <c r="I341" s="135" t="s">
        <v>498</v>
      </c>
      <c r="J341" s="151">
        <v>45460</v>
      </c>
      <c r="K341" s="135" t="s">
        <v>117</v>
      </c>
      <c r="L341" s="135">
        <v>461000303</v>
      </c>
      <c r="M341" s="151">
        <v>45462</v>
      </c>
      <c r="N341" s="152">
        <v>45461.947916666664</v>
      </c>
      <c r="O341" s="152">
        <v>45461.947916666664</v>
      </c>
      <c r="P341" s="152">
        <v>45461.951388888891</v>
      </c>
      <c r="Q341" s="152">
        <v>45462.135416666664</v>
      </c>
      <c r="R341" s="152" t="s">
        <v>118</v>
      </c>
      <c r="S341" s="152" t="s">
        <v>118</v>
      </c>
      <c r="T341" s="114">
        <v>45462.270833333336</v>
      </c>
      <c r="U341" s="114">
        <v>45462.444444444445</v>
      </c>
      <c r="V341" s="165">
        <f t="shared" ref="V341:V356" si="189">+Q341-O341</f>
        <v>0.1875</v>
      </c>
      <c r="W341" s="95">
        <v>0.20833333333333334</v>
      </c>
      <c r="X341" s="165" t="str">
        <f t="shared" ref="X341:X356" si="190">IF(VALUE(V341)&lt;=VALUE("05:00"),"00:00",VALUE(V341)-VALUE("05:00"))</f>
        <v>00:00</v>
      </c>
      <c r="Y341" s="96">
        <v>26</v>
      </c>
      <c r="Z341" s="96">
        <v>32</v>
      </c>
      <c r="AA341" s="96">
        <f t="shared" si="158"/>
        <v>58</v>
      </c>
      <c r="AB341" s="97">
        <f t="shared" si="159"/>
        <v>1807.372068965517</v>
      </c>
      <c r="AC341" s="97">
        <f t="shared" si="160"/>
        <v>2224.4579310344825</v>
      </c>
      <c r="AD341" s="98">
        <v>4031.83</v>
      </c>
      <c r="AE341" s="98">
        <v>4033.2</v>
      </c>
      <c r="AF341" s="98">
        <v>4061.8</v>
      </c>
      <c r="AG341" s="98">
        <f t="shared" si="161"/>
        <v>29.970000000000255</v>
      </c>
      <c r="AH341" s="99">
        <v>672.5</v>
      </c>
      <c r="AI341" s="100">
        <f t="shared" si="162"/>
        <v>2731560.5</v>
      </c>
      <c r="AJ341" s="100">
        <f t="shared" si="187"/>
        <v>0</v>
      </c>
      <c r="AK341" s="100">
        <v>0</v>
      </c>
      <c r="AL341" s="100">
        <v>24140</v>
      </c>
      <c r="AM341" s="100">
        <v>0</v>
      </c>
      <c r="AN341" s="100">
        <v>0</v>
      </c>
      <c r="AO341" s="100">
        <v>0</v>
      </c>
      <c r="AP341" s="100">
        <f t="shared" si="188"/>
        <v>137786</v>
      </c>
      <c r="AQ341" s="101">
        <f t="shared" si="185"/>
        <v>2893487</v>
      </c>
      <c r="AR341" s="101">
        <v>0</v>
      </c>
      <c r="AS341" s="101">
        <v>0</v>
      </c>
      <c r="AT341" s="102" t="s">
        <v>33</v>
      </c>
      <c r="AU341" s="157">
        <v>22</v>
      </c>
      <c r="AV341" s="100">
        <f>55.51-24.01</f>
        <v>31.499999999999996</v>
      </c>
      <c r="AW341" s="105"/>
      <c r="AX341" s="106">
        <f t="shared" ref="AX341:AX355" si="191">IFERROR((AG341/AF341)*100, "")</f>
        <v>0.73785021419075913</v>
      </c>
      <c r="AY341" s="101">
        <f t="shared" ref="AY341:AY355" si="192">ROUNDUP(AG341*AH341,0)</f>
        <v>20155</v>
      </c>
      <c r="AZ341" s="107"/>
      <c r="BA341" s="94">
        <v>45461.947916666664</v>
      </c>
      <c r="BB341" s="94">
        <v>45461.951388888891</v>
      </c>
      <c r="BC341" s="94">
        <v>45461.951388888891</v>
      </c>
      <c r="BD341" s="94">
        <v>45462.052083333336</v>
      </c>
      <c r="BE341" s="95">
        <f t="shared" ref="BE341:BE356" si="193">+BD341-BA341</f>
        <v>0.10416666667151731</v>
      </c>
      <c r="BF341" s="95">
        <v>2.1527777777777778E-2</v>
      </c>
      <c r="BG341" s="95">
        <v>0</v>
      </c>
      <c r="BH341" s="95">
        <f t="shared" ref="BH341:BJ356" si="194">+BB341-BA341</f>
        <v>3.4722222262644209E-3</v>
      </c>
      <c r="BI341" s="95">
        <f t="shared" si="194"/>
        <v>0</v>
      </c>
      <c r="BJ341" s="95">
        <f t="shared" si="194"/>
        <v>0.10069444444525288</v>
      </c>
      <c r="BK341" s="95">
        <f t="shared" ref="BK341:BK356" si="195">+BI341+BJ341</f>
        <v>0.10069444444525288</v>
      </c>
      <c r="BL341" s="95">
        <f t="shared" ref="BL341:BL356" si="196">+BE341-BH341-BF341-BG341</f>
        <v>7.91666666674751E-2</v>
      </c>
      <c r="BM341" s="95" t="str">
        <f t="shared" ref="BM341:BM356" si="197">IF(VALUE(BE341)&lt;=VALUE("05:00"),"00:00",VALUE(BE341)-VALUE("05:00"))</f>
        <v>00:00</v>
      </c>
      <c r="BN341" s="110"/>
    </row>
    <row r="342" spans="1:66" s="8" customFormat="1" ht="12.75" customHeight="1" x14ac:dyDescent="0.25">
      <c r="A342" s="150">
        <v>300</v>
      </c>
      <c r="B342" s="150">
        <v>65</v>
      </c>
      <c r="C342" s="90">
        <v>6</v>
      </c>
      <c r="D342" s="90" t="s">
        <v>148</v>
      </c>
      <c r="E342" s="91" t="s">
        <v>487</v>
      </c>
      <c r="F342" s="90" t="s">
        <v>16</v>
      </c>
      <c r="G342" s="90" t="s">
        <v>17</v>
      </c>
      <c r="H342" s="90" t="s">
        <v>150</v>
      </c>
      <c r="I342" s="135" t="s">
        <v>499</v>
      </c>
      <c r="J342" s="151">
        <v>45460</v>
      </c>
      <c r="K342" s="135" t="s">
        <v>117</v>
      </c>
      <c r="L342" s="135">
        <v>461000304</v>
      </c>
      <c r="M342" s="151">
        <v>45463</v>
      </c>
      <c r="N342" s="152">
        <v>45462.75</v>
      </c>
      <c r="O342" s="152">
        <v>45462.75</v>
      </c>
      <c r="P342" s="152">
        <v>45462.756944444445</v>
      </c>
      <c r="Q342" s="152">
        <v>45462.9375</v>
      </c>
      <c r="R342" s="152" t="s">
        <v>118</v>
      </c>
      <c r="S342" s="152" t="s">
        <v>118</v>
      </c>
      <c r="T342" s="114">
        <v>45462.944444444445</v>
      </c>
      <c r="U342" s="114">
        <v>45463.027777777781</v>
      </c>
      <c r="V342" s="165">
        <f t="shared" si="189"/>
        <v>0.1875</v>
      </c>
      <c r="W342" s="95">
        <v>0.20833333333333334</v>
      </c>
      <c r="X342" s="165" t="str">
        <f t="shared" si="190"/>
        <v>00:00</v>
      </c>
      <c r="Y342" s="96">
        <v>26</v>
      </c>
      <c r="Z342" s="96">
        <v>32</v>
      </c>
      <c r="AA342" s="96">
        <f t="shared" si="158"/>
        <v>58</v>
      </c>
      <c r="AB342" s="97">
        <f t="shared" si="159"/>
        <v>1820.927931034483</v>
      </c>
      <c r="AC342" s="97">
        <f t="shared" si="160"/>
        <v>2241.1420689655174</v>
      </c>
      <c r="AD342" s="98">
        <v>4062.07</v>
      </c>
      <c r="AE342" s="98">
        <v>4051</v>
      </c>
      <c r="AF342" s="98">
        <v>4080</v>
      </c>
      <c r="AG342" s="98">
        <f t="shared" si="161"/>
        <v>17.929999999999836</v>
      </c>
      <c r="AH342" s="99">
        <v>672.5</v>
      </c>
      <c r="AI342" s="100">
        <f t="shared" si="162"/>
        <v>2743800</v>
      </c>
      <c r="AJ342" s="100">
        <f t="shared" si="187"/>
        <v>0</v>
      </c>
      <c r="AK342" s="100">
        <v>0</v>
      </c>
      <c r="AL342" s="100">
        <v>24140</v>
      </c>
      <c r="AM342" s="100">
        <v>0</v>
      </c>
      <c r="AN342" s="100">
        <v>0</v>
      </c>
      <c r="AO342" s="100">
        <v>0</v>
      </c>
      <c r="AP342" s="100">
        <f t="shared" si="188"/>
        <v>138397</v>
      </c>
      <c r="AQ342" s="101">
        <f t="shared" si="185"/>
        <v>2906337</v>
      </c>
      <c r="AR342" s="101">
        <v>0</v>
      </c>
      <c r="AS342" s="101">
        <v>0</v>
      </c>
      <c r="AT342" s="102" t="s">
        <v>33</v>
      </c>
      <c r="AU342" s="157">
        <v>17</v>
      </c>
      <c r="AV342" s="100">
        <f>45-25.5</f>
        <v>19.5</v>
      </c>
      <c r="AW342" s="105"/>
      <c r="AX342" s="106">
        <f t="shared" si="191"/>
        <v>0.43946078431372149</v>
      </c>
      <c r="AY342" s="101">
        <f t="shared" si="192"/>
        <v>12058</v>
      </c>
      <c r="AZ342" s="107"/>
      <c r="BA342" s="94">
        <v>45462.75</v>
      </c>
      <c r="BB342" s="94">
        <v>45462.756944444445</v>
      </c>
      <c r="BC342" s="94">
        <v>45462.763888888891</v>
      </c>
      <c r="BD342" s="94">
        <v>45462.840277777781</v>
      </c>
      <c r="BE342" s="95">
        <f t="shared" si="193"/>
        <v>9.0277777781011537E-2</v>
      </c>
      <c r="BF342" s="95">
        <v>6.9444444444444441E-3</v>
      </c>
      <c r="BG342" s="95">
        <v>0</v>
      </c>
      <c r="BH342" s="95">
        <f t="shared" si="194"/>
        <v>6.9444444452528842E-3</v>
      </c>
      <c r="BI342" s="95">
        <f t="shared" si="194"/>
        <v>6.9444444452528842E-3</v>
      </c>
      <c r="BJ342" s="95">
        <f t="shared" si="194"/>
        <v>7.6388888890505768E-2</v>
      </c>
      <c r="BK342" s="95">
        <f t="shared" si="195"/>
        <v>8.3333333335758653E-2</v>
      </c>
      <c r="BL342" s="95">
        <f t="shared" si="196"/>
        <v>7.6388888891314205E-2</v>
      </c>
      <c r="BM342" s="95" t="str">
        <f t="shared" si="197"/>
        <v>00:00</v>
      </c>
      <c r="BN342" s="110"/>
    </row>
    <row r="343" spans="1:66" s="8" customFormat="1" ht="12.75" customHeight="1" x14ac:dyDescent="0.25">
      <c r="A343" s="150">
        <v>301</v>
      </c>
      <c r="B343" s="150">
        <v>66</v>
      </c>
      <c r="C343" s="90">
        <v>7</v>
      </c>
      <c r="D343" s="90" t="s">
        <v>148</v>
      </c>
      <c r="E343" s="91" t="s">
        <v>487</v>
      </c>
      <c r="F343" s="90" t="s">
        <v>16</v>
      </c>
      <c r="G343" s="90" t="s">
        <v>17</v>
      </c>
      <c r="H343" s="90" t="s">
        <v>150</v>
      </c>
      <c r="I343" s="135" t="s">
        <v>500</v>
      </c>
      <c r="J343" s="151">
        <v>45461</v>
      </c>
      <c r="K343" s="135" t="s">
        <v>117</v>
      </c>
      <c r="L343" s="135">
        <v>461000305</v>
      </c>
      <c r="M343" s="151">
        <v>45463</v>
      </c>
      <c r="N343" s="152">
        <v>45463.0625</v>
      </c>
      <c r="O343" s="152">
        <v>45463.0625</v>
      </c>
      <c r="P343" s="152">
        <v>45463.121527777781</v>
      </c>
      <c r="Q343" s="152">
        <v>45463.270833333336</v>
      </c>
      <c r="R343" s="152" t="s">
        <v>118</v>
      </c>
      <c r="S343" s="152" t="s">
        <v>118</v>
      </c>
      <c r="T343" s="114">
        <v>45463.319444444445</v>
      </c>
      <c r="U343" s="114">
        <v>45463.434027777781</v>
      </c>
      <c r="V343" s="165">
        <f t="shared" si="189"/>
        <v>0.20833333333575865</v>
      </c>
      <c r="W343" s="95">
        <v>0.20833333333333334</v>
      </c>
      <c r="X343" s="165">
        <f t="shared" si="190"/>
        <v>2.4253099528692701E-12</v>
      </c>
      <c r="Y343" s="96">
        <v>26</v>
      </c>
      <c r="Z343" s="96">
        <v>32</v>
      </c>
      <c r="AA343" s="96">
        <f t="shared" si="158"/>
        <v>58</v>
      </c>
      <c r="AB343" s="97">
        <f t="shared" si="159"/>
        <v>1782.6362068965518</v>
      </c>
      <c r="AC343" s="97">
        <f t="shared" si="160"/>
        <v>2194.0137931034483</v>
      </c>
      <c r="AD343" s="98">
        <v>3976.65</v>
      </c>
      <c r="AE343" s="98">
        <v>4024.6</v>
      </c>
      <c r="AF343" s="98">
        <v>4028.4</v>
      </c>
      <c r="AG343" s="98">
        <f t="shared" si="161"/>
        <v>51.75</v>
      </c>
      <c r="AH343" s="99">
        <v>672.5</v>
      </c>
      <c r="AI343" s="100">
        <f t="shared" si="162"/>
        <v>2709099</v>
      </c>
      <c r="AJ343" s="100">
        <f t="shared" si="187"/>
        <v>0</v>
      </c>
      <c r="AK343" s="100">
        <v>0</v>
      </c>
      <c r="AL343" s="100">
        <v>24140</v>
      </c>
      <c r="AM343" s="100">
        <v>0</v>
      </c>
      <c r="AN343" s="100">
        <v>0</v>
      </c>
      <c r="AO343" s="100">
        <v>0</v>
      </c>
      <c r="AP343" s="100">
        <f t="shared" si="188"/>
        <v>136662</v>
      </c>
      <c r="AQ343" s="101">
        <f t="shared" si="185"/>
        <v>2869901</v>
      </c>
      <c r="AR343" s="101">
        <v>0</v>
      </c>
      <c r="AS343" s="101">
        <v>0</v>
      </c>
      <c r="AT343" s="102" t="s">
        <v>33</v>
      </c>
      <c r="AU343" s="157">
        <v>1</v>
      </c>
      <c r="AV343" s="100">
        <f>6.27-3.27</f>
        <v>2.9999999999999996</v>
      </c>
      <c r="AW343" s="105"/>
      <c r="AX343" s="106">
        <f t="shared" si="191"/>
        <v>1.2846291331546023</v>
      </c>
      <c r="AY343" s="101">
        <f t="shared" si="192"/>
        <v>34802</v>
      </c>
      <c r="AZ343" s="107"/>
      <c r="BA343" s="94">
        <v>45463.0625</v>
      </c>
      <c r="BB343" s="94">
        <v>45463.121527777781</v>
      </c>
      <c r="BC343" s="94">
        <v>45463.125</v>
      </c>
      <c r="BD343" s="94">
        <v>45463.269444444442</v>
      </c>
      <c r="BE343" s="95">
        <f t="shared" si="193"/>
        <v>0.2069444444423425</v>
      </c>
      <c r="BF343" s="95">
        <v>3.472222222222222E-3</v>
      </c>
      <c r="BG343" s="95">
        <v>8.3333333333333329E-2</v>
      </c>
      <c r="BH343" s="95">
        <f t="shared" si="194"/>
        <v>5.9027777781011537E-2</v>
      </c>
      <c r="BI343" s="95">
        <f t="shared" si="194"/>
        <v>3.4722222189884633E-3</v>
      </c>
      <c r="BJ343" s="95">
        <f t="shared" si="194"/>
        <v>0.1444444444423425</v>
      </c>
      <c r="BK343" s="95">
        <f t="shared" si="195"/>
        <v>0.14791666666133096</v>
      </c>
      <c r="BL343" s="95">
        <f t="shared" si="196"/>
        <v>6.1111111105775426E-2</v>
      </c>
      <c r="BM343" s="95" t="str">
        <f t="shared" si="197"/>
        <v>00:00</v>
      </c>
      <c r="BN343" s="110"/>
    </row>
    <row r="344" spans="1:66" s="8" customFormat="1" ht="12.75" customHeight="1" x14ac:dyDescent="0.25">
      <c r="A344" s="150">
        <v>302</v>
      </c>
      <c r="B344" s="150">
        <v>67</v>
      </c>
      <c r="C344" s="90">
        <v>8</v>
      </c>
      <c r="D344" s="90" t="s">
        <v>148</v>
      </c>
      <c r="E344" s="91" t="s">
        <v>487</v>
      </c>
      <c r="F344" s="90" t="s">
        <v>16</v>
      </c>
      <c r="G344" s="90" t="s">
        <v>17</v>
      </c>
      <c r="H344" s="90" t="s">
        <v>150</v>
      </c>
      <c r="I344" s="135" t="s">
        <v>501</v>
      </c>
      <c r="J344" s="151">
        <v>45461</v>
      </c>
      <c r="K344" s="135" t="s">
        <v>117</v>
      </c>
      <c r="L344" s="135">
        <v>461000306</v>
      </c>
      <c r="M344" s="151">
        <v>45463</v>
      </c>
      <c r="N344" s="152">
        <v>45463.46875</v>
      </c>
      <c r="O344" s="152">
        <v>45463.46875</v>
      </c>
      <c r="P344" s="152">
        <v>45463.472222222219</v>
      </c>
      <c r="Q344" s="152">
        <v>45463.666666666664</v>
      </c>
      <c r="R344" s="152" t="s">
        <v>118</v>
      </c>
      <c r="S344" s="152" t="s">
        <v>118</v>
      </c>
      <c r="T344" s="114">
        <v>45463.677083333336</v>
      </c>
      <c r="U344" s="114">
        <v>45463.729166666664</v>
      </c>
      <c r="V344" s="165">
        <f t="shared" si="189"/>
        <v>0.19791666666424135</v>
      </c>
      <c r="W344" s="95">
        <v>0.20833333333333334</v>
      </c>
      <c r="X344" s="165" t="str">
        <f t="shared" si="190"/>
        <v>00:00</v>
      </c>
      <c r="Y344" s="96">
        <v>27</v>
      </c>
      <c r="Z344" s="96">
        <v>32</v>
      </c>
      <c r="AA344" s="96">
        <f t="shared" si="158"/>
        <v>59</v>
      </c>
      <c r="AB344" s="97">
        <f t="shared" si="159"/>
        <v>1834.8467796610169</v>
      </c>
      <c r="AC344" s="97">
        <f t="shared" si="160"/>
        <v>2174.6332203389829</v>
      </c>
      <c r="AD344" s="98">
        <v>4009.48</v>
      </c>
      <c r="AE344" s="98">
        <v>4105.5</v>
      </c>
      <c r="AF344" s="98">
        <v>4107.3999999999996</v>
      </c>
      <c r="AG344" s="98">
        <f t="shared" si="161"/>
        <v>97.919999999999618</v>
      </c>
      <c r="AH344" s="99">
        <v>672.5</v>
      </c>
      <c r="AI344" s="100">
        <f t="shared" si="162"/>
        <v>2762226.4999999995</v>
      </c>
      <c r="AJ344" s="100">
        <f t="shared" si="187"/>
        <v>0</v>
      </c>
      <c r="AK344" s="100">
        <v>0</v>
      </c>
      <c r="AL344" s="100">
        <v>0</v>
      </c>
      <c r="AM344" s="100">
        <v>0</v>
      </c>
      <c r="AN344" s="100">
        <v>0</v>
      </c>
      <c r="AO344" s="100">
        <v>0</v>
      </c>
      <c r="AP344" s="100">
        <f t="shared" si="188"/>
        <v>138112</v>
      </c>
      <c r="AQ344" s="101">
        <f t="shared" si="185"/>
        <v>2900339</v>
      </c>
      <c r="AR344" s="101">
        <v>0</v>
      </c>
      <c r="AS344" s="101">
        <v>0</v>
      </c>
      <c r="AT344" s="102" t="s">
        <v>33</v>
      </c>
      <c r="AU344" s="157" t="s">
        <v>118</v>
      </c>
      <c r="AV344" s="100">
        <v>0</v>
      </c>
      <c r="AW344" s="105"/>
      <c r="AX344" s="106">
        <f t="shared" si="191"/>
        <v>2.3839898719384434</v>
      </c>
      <c r="AY344" s="101">
        <f t="shared" si="192"/>
        <v>65852</v>
      </c>
      <c r="AZ344" s="107"/>
      <c r="BA344" s="94">
        <v>45463.46875</v>
      </c>
      <c r="BB344" s="94">
        <v>45463.472222222219</v>
      </c>
      <c r="BC344" s="94">
        <v>45463.472222222219</v>
      </c>
      <c r="BD344" s="94">
        <v>45463.544444444444</v>
      </c>
      <c r="BE344" s="95">
        <f t="shared" si="193"/>
        <v>7.5694444443797693E-2</v>
      </c>
      <c r="BF344" s="95">
        <v>1.3888888888888889E-3</v>
      </c>
      <c r="BG344" s="95">
        <v>0</v>
      </c>
      <c r="BH344" s="95">
        <f t="shared" si="194"/>
        <v>3.4722222189884633E-3</v>
      </c>
      <c r="BI344" s="95">
        <f t="shared" si="194"/>
        <v>0</v>
      </c>
      <c r="BJ344" s="95">
        <f t="shared" si="194"/>
        <v>7.2222222224809229E-2</v>
      </c>
      <c r="BK344" s="95">
        <f t="shared" si="195"/>
        <v>7.2222222224809229E-2</v>
      </c>
      <c r="BL344" s="95">
        <f t="shared" si="196"/>
        <v>7.0833333335920345E-2</v>
      </c>
      <c r="BM344" s="95" t="str">
        <f t="shared" si="197"/>
        <v>00:00</v>
      </c>
      <c r="BN344" s="110"/>
    </row>
    <row r="345" spans="1:66" s="8" customFormat="1" ht="12.75" customHeight="1" x14ac:dyDescent="0.25">
      <c r="A345" s="150">
        <v>303</v>
      </c>
      <c r="B345" s="150">
        <v>68</v>
      </c>
      <c r="C345" s="90">
        <v>9</v>
      </c>
      <c r="D345" s="90" t="s">
        <v>148</v>
      </c>
      <c r="E345" s="91" t="s">
        <v>487</v>
      </c>
      <c r="F345" s="90" t="s">
        <v>16</v>
      </c>
      <c r="G345" s="90" t="s">
        <v>17</v>
      </c>
      <c r="H345" s="90" t="s">
        <v>150</v>
      </c>
      <c r="I345" s="135" t="s">
        <v>502</v>
      </c>
      <c r="J345" s="151">
        <v>45462</v>
      </c>
      <c r="K345" s="135" t="s">
        <v>117</v>
      </c>
      <c r="L345" s="135">
        <v>461000307</v>
      </c>
      <c r="M345" s="151">
        <v>45464</v>
      </c>
      <c r="N345" s="152">
        <v>45463.75</v>
      </c>
      <c r="O345" s="152">
        <v>45463.75</v>
      </c>
      <c r="P345" s="152">
        <v>45463.763888888891</v>
      </c>
      <c r="Q345" s="152">
        <v>45463.916666666664</v>
      </c>
      <c r="R345" s="152" t="s">
        <v>118</v>
      </c>
      <c r="S345" s="152" t="s">
        <v>118</v>
      </c>
      <c r="T345" s="114">
        <v>45463.927083333336</v>
      </c>
      <c r="U345" s="114">
        <v>45464.034722222219</v>
      </c>
      <c r="V345" s="165">
        <f t="shared" si="189"/>
        <v>0.16666666666424135</v>
      </c>
      <c r="W345" s="95">
        <v>0.20833333333333334</v>
      </c>
      <c r="X345" s="165" t="str">
        <f t="shared" si="190"/>
        <v>00:00</v>
      </c>
      <c r="Y345" s="96">
        <v>26</v>
      </c>
      <c r="Z345" s="96">
        <v>32</v>
      </c>
      <c r="AA345" s="96">
        <f t="shared" ref="AA345:AA408" si="198">+Y345+Z345</f>
        <v>58</v>
      </c>
      <c r="AB345" s="97">
        <f t="shared" ref="AB345:AB408" si="199">+AD345/AA345*Y345</f>
        <v>1790.651379310345</v>
      </c>
      <c r="AC345" s="97">
        <f t="shared" ref="AC345:AC408" si="200">+AD345/AA345*Z345</f>
        <v>2203.8786206896552</v>
      </c>
      <c r="AD345" s="98">
        <v>3994.53</v>
      </c>
      <c r="AE345" s="98">
        <v>4040.8</v>
      </c>
      <c r="AF345" s="98">
        <v>4049.6</v>
      </c>
      <c r="AG345" s="98">
        <f t="shared" ref="AG345:AG408" si="201">+AF345-AD345</f>
        <v>55.069999999999709</v>
      </c>
      <c r="AH345" s="99">
        <v>672.5</v>
      </c>
      <c r="AI345" s="100">
        <f t="shared" ref="AI345:AI408" si="202">+AF345*AH345</f>
        <v>2723356</v>
      </c>
      <c r="AJ345" s="100">
        <f t="shared" si="187"/>
        <v>0</v>
      </c>
      <c r="AK345" s="100">
        <v>0</v>
      </c>
      <c r="AL345" s="100">
        <v>24140</v>
      </c>
      <c r="AM345" s="100">
        <v>0</v>
      </c>
      <c r="AN345" s="100">
        <v>0</v>
      </c>
      <c r="AO345" s="100">
        <v>0</v>
      </c>
      <c r="AP345" s="100">
        <f t="shared" si="188"/>
        <v>137375</v>
      </c>
      <c r="AQ345" s="101">
        <f t="shared" si="185"/>
        <v>2884871</v>
      </c>
      <c r="AR345" s="101">
        <v>0</v>
      </c>
      <c r="AS345" s="101">
        <v>0</v>
      </c>
      <c r="AT345" s="102" t="s">
        <v>33</v>
      </c>
      <c r="AU345" s="157">
        <v>3</v>
      </c>
      <c r="AV345" s="100">
        <f>11.8-7.8</f>
        <v>4.0000000000000009</v>
      </c>
      <c r="AW345" s="105"/>
      <c r="AX345" s="106">
        <f t="shared" si="191"/>
        <v>1.3598873962860458</v>
      </c>
      <c r="AY345" s="101">
        <f t="shared" si="192"/>
        <v>37035</v>
      </c>
      <c r="AZ345" s="107"/>
      <c r="BA345" s="94">
        <v>45463.75</v>
      </c>
      <c r="BB345" s="94">
        <v>45463.763888888891</v>
      </c>
      <c r="BC345" s="94">
        <v>45463.763888888891</v>
      </c>
      <c r="BD345" s="94">
        <v>45463.840277777781</v>
      </c>
      <c r="BE345" s="95">
        <f t="shared" si="193"/>
        <v>9.0277777781011537E-2</v>
      </c>
      <c r="BF345" s="95">
        <v>0</v>
      </c>
      <c r="BG345" s="95">
        <v>0</v>
      </c>
      <c r="BH345" s="95">
        <f t="shared" si="194"/>
        <v>1.3888888890505768E-2</v>
      </c>
      <c r="BI345" s="95">
        <f t="shared" si="194"/>
        <v>0</v>
      </c>
      <c r="BJ345" s="95">
        <f t="shared" si="194"/>
        <v>7.6388888890505768E-2</v>
      </c>
      <c r="BK345" s="95">
        <f t="shared" si="195"/>
        <v>7.6388888890505768E-2</v>
      </c>
      <c r="BL345" s="95">
        <f t="shared" si="196"/>
        <v>7.6388888890505768E-2</v>
      </c>
      <c r="BM345" s="95" t="str">
        <f t="shared" si="197"/>
        <v>00:00</v>
      </c>
      <c r="BN345" s="110"/>
    </row>
    <row r="346" spans="1:66" s="8" customFormat="1" ht="12.75" customHeight="1" x14ac:dyDescent="0.25">
      <c r="A346" s="150">
        <v>304</v>
      </c>
      <c r="B346" s="150">
        <v>69</v>
      </c>
      <c r="C346" s="90">
        <v>10</v>
      </c>
      <c r="D346" s="90" t="s">
        <v>148</v>
      </c>
      <c r="E346" s="91" t="s">
        <v>487</v>
      </c>
      <c r="F346" s="90" t="s">
        <v>16</v>
      </c>
      <c r="G346" s="90" t="s">
        <v>17</v>
      </c>
      <c r="H346" s="90" t="s">
        <v>150</v>
      </c>
      <c r="I346" s="135" t="s">
        <v>503</v>
      </c>
      <c r="J346" s="151">
        <v>45463</v>
      </c>
      <c r="K346" s="135" t="s">
        <v>117</v>
      </c>
      <c r="L346" s="135">
        <v>461000308</v>
      </c>
      <c r="M346" s="151">
        <v>45464</v>
      </c>
      <c r="N346" s="152">
        <v>45464.072916666664</v>
      </c>
      <c r="O346" s="152">
        <v>45464.072916666664</v>
      </c>
      <c r="P346" s="152">
        <v>45464.079861111109</v>
      </c>
      <c r="Q346" s="152">
        <v>45464.28125</v>
      </c>
      <c r="R346" s="152" t="s">
        <v>118</v>
      </c>
      <c r="S346" s="152" t="s">
        <v>118</v>
      </c>
      <c r="T346" s="114">
        <v>45464.354166666664</v>
      </c>
      <c r="U346" s="114">
        <v>45464.423611111109</v>
      </c>
      <c r="V346" s="165">
        <f t="shared" si="189"/>
        <v>0.20833333333575865</v>
      </c>
      <c r="W346" s="95">
        <v>0.20833333333333334</v>
      </c>
      <c r="X346" s="165">
        <f t="shared" si="190"/>
        <v>2.4253099528692701E-12</v>
      </c>
      <c r="Y346" s="96">
        <v>26</v>
      </c>
      <c r="Z346" s="96">
        <v>32</v>
      </c>
      <c r="AA346" s="96">
        <f t="shared" si="198"/>
        <v>58</v>
      </c>
      <c r="AB346" s="97">
        <f t="shared" si="199"/>
        <v>1769.2641379310346</v>
      </c>
      <c r="AC346" s="97">
        <f t="shared" si="200"/>
        <v>2177.5558620689658</v>
      </c>
      <c r="AD346" s="98">
        <v>3946.82</v>
      </c>
      <c r="AE346" s="98">
        <v>4027.9</v>
      </c>
      <c r="AF346" s="98">
        <v>4028.2</v>
      </c>
      <c r="AG346" s="98">
        <f t="shared" si="201"/>
        <v>81.379999999999654</v>
      </c>
      <c r="AH346" s="99">
        <v>672.5</v>
      </c>
      <c r="AI346" s="100">
        <f t="shared" si="202"/>
        <v>2708964.5</v>
      </c>
      <c r="AJ346" s="100">
        <f t="shared" si="187"/>
        <v>0</v>
      </c>
      <c r="AK346" s="100">
        <v>0</v>
      </c>
      <c r="AL346" s="100">
        <v>0</v>
      </c>
      <c r="AM346" s="100">
        <v>0</v>
      </c>
      <c r="AN346" s="100">
        <v>0</v>
      </c>
      <c r="AO346" s="100">
        <v>0</v>
      </c>
      <c r="AP346" s="100">
        <f t="shared" si="188"/>
        <v>135449</v>
      </c>
      <c r="AQ346" s="101">
        <f t="shared" si="185"/>
        <v>2844414</v>
      </c>
      <c r="AR346" s="101">
        <v>0</v>
      </c>
      <c r="AS346" s="101">
        <v>0</v>
      </c>
      <c r="AT346" s="102" t="s">
        <v>33</v>
      </c>
      <c r="AU346" s="157" t="s">
        <v>118</v>
      </c>
      <c r="AV346" s="100">
        <v>0</v>
      </c>
      <c r="AW346" s="105"/>
      <c r="AX346" s="106">
        <f t="shared" si="191"/>
        <v>2.0202571868328199</v>
      </c>
      <c r="AY346" s="101">
        <f t="shared" si="192"/>
        <v>54729</v>
      </c>
      <c r="AZ346" s="107"/>
      <c r="BA346" s="94">
        <v>45464.072916666664</v>
      </c>
      <c r="BB346" s="94">
        <v>45464.079861111109</v>
      </c>
      <c r="BC346" s="94">
        <v>45464.079861111109</v>
      </c>
      <c r="BD346" s="94">
        <v>45464.15</v>
      </c>
      <c r="BE346" s="95">
        <f t="shared" si="193"/>
        <v>7.7083333337213844E-2</v>
      </c>
      <c r="BF346" s="95">
        <v>2.0833333333333333E-3</v>
      </c>
      <c r="BG346" s="95">
        <v>0</v>
      </c>
      <c r="BH346" s="95">
        <f t="shared" si="194"/>
        <v>6.9444444452528842E-3</v>
      </c>
      <c r="BI346" s="95">
        <f t="shared" si="194"/>
        <v>0</v>
      </c>
      <c r="BJ346" s="95">
        <f t="shared" si="194"/>
        <v>7.013888889196096E-2</v>
      </c>
      <c r="BK346" s="95">
        <f t="shared" si="195"/>
        <v>7.013888889196096E-2</v>
      </c>
      <c r="BL346" s="95">
        <f t="shared" si="196"/>
        <v>6.805555555862762E-2</v>
      </c>
      <c r="BM346" s="95" t="str">
        <f t="shared" si="197"/>
        <v>00:00</v>
      </c>
      <c r="BN346" s="110"/>
    </row>
    <row r="347" spans="1:66" s="8" customFormat="1" ht="12.75" customHeight="1" x14ac:dyDescent="0.25">
      <c r="A347" s="150">
        <v>305</v>
      </c>
      <c r="B347" s="150">
        <v>70</v>
      </c>
      <c r="C347" s="90">
        <v>11</v>
      </c>
      <c r="D347" s="90" t="s">
        <v>148</v>
      </c>
      <c r="E347" s="91" t="s">
        <v>487</v>
      </c>
      <c r="F347" s="90" t="s">
        <v>16</v>
      </c>
      <c r="G347" s="90" t="s">
        <v>17</v>
      </c>
      <c r="H347" s="90" t="s">
        <v>150</v>
      </c>
      <c r="I347" s="135" t="s">
        <v>504</v>
      </c>
      <c r="J347" s="151">
        <v>45463</v>
      </c>
      <c r="K347" s="135" t="s">
        <v>117</v>
      </c>
      <c r="L347" s="135">
        <v>461000309</v>
      </c>
      <c r="M347" s="151">
        <v>45464</v>
      </c>
      <c r="N347" s="152">
        <v>45464.451388888891</v>
      </c>
      <c r="O347" s="152">
        <v>45464.4375</v>
      </c>
      <c r="P347" s="152">
        <v>45464.458333333336</v>
      </c>
      <c r="Q347" s="152">
        <v>45464.645833333336</v>
      </c>
      <c r="R347" s="152">
        <v>45464.451388888891</v>
      </c>
      <c r="S347" s="152" t="s">
        <v>118</v>
      </c>
      <c r="T347" s="114">
        <v>45464.666666666664</v>
      </c>
      <c r="U347" s="114">
        <v>45464.763888888891</v>
      </c>
      <c r="V347" s="165">
        <f t="shared" si="189"/>
        <v>0.20833333333575865</v>
      </c>
      <c r="W347" s="95">
        <v>0.20833333333333334</v>
      </c>
      <c r="X347" s="165">
        <f t="shared" si="190"/>
        <v>2.4253099528692701E-12</v>
      </c>
      <c r="Y347" s="96">
        <v>27</v>
      </c>
      <c r="Z347" s="96">
        <v>32</v>
      </c>
      <c r="AA347" s="96">
        <f t="shared" si="198"/>
        <v>59</v>
      </c>
      <c r="AB347" s="97">
        <f t="shared" si="199"/>
        <v>1870.6469491525424</v>
      </c>
      <c r="AC347" s="97">
        <f t="shared" si="200"/>
        <v>2217.0630508474578</v>
      </c>
      <c r="AD347" s="98">
        <v>4087.71</v>
      </c>
      <c r="AE347" s="98">
        <v>4109.8999999999996</v>
      </c>
      <c r="AF347" s="98">
        <v>4123.3999999999996</v>
      </c>
      <c r="AG347" s="98">
        <f t="shared" si="201"/>
        <v>35.6899999999996</v>
      </c>
      <c r="AH347" s="99">
        <v>672.5</v>
      </c>
      <c r="AI347" s="100">
        <f t="shared" si="202"/>
        <v>2772986.4999999995</v>
      </c>
      <c r="AJ347" s="100">
        <f t="shared" si="187"/>
        <v>0</v>
      </c>
      <c r="AK347" s="100">
        <v>0</v>
      </c>
      <c r="AL347" s="100">
        <v>24290</v>
      </c>
      <c r="AM347" s="100">
        <v>0</v>
      </c>
      <c r="AN347" s="100">
        <v>0</v>
      </c>
      <c r="AO347" s="100">
        <v>0</v>
      </c>
      <c r="AP347" s="100">
        <f t="shared" si="188"/>
        <v>139864</v>
      </c>
      <c r="AQ347" s="101">
        <f t="shared" si="185"/>
        <v>2937141</v>
      </c>
      <c r="AR347" s="101">
        <v>0</v>
      </c>
      <c r="AS347" s="101">
        <v>0</v>
      </c>
      <c r="AT347" s="102" t="s">
        <v>33</v>
      </c>
      <c r="AU347" s="157">
        <v>5</v>
      </c>
      <c r="AV347" s="100">
        <f>15.27-12.27</f>
        <v>3</v>
      </c>
      <c r="AW347" s="105"/>
      <c r="AX347" s="106">
        <f t="shared" si="191"/>
        <v>0.86554784886257952</v>
      </c>
      <c r="AY347" s="101">
        <f t="shared" si="192"/>
        <v>24002</v>
      </c>
      <c r="AZ347" s="107"/>
      <c r="BA347" s="94">
        <v>45464.451388888891</v>
      </c>
      <c r="BB347" s="94">
        <v>45464.458333333336</v>
      </c>
      <c r="BC347" s="94">
        <v>45464.458333333336</v>
      </c>
      <c r="BD347" s="94">
        <v>45464.521527777775</v>
      </c>
      <c r="BE347" s="95">
        <f t="shared" si="193"/>
        <v>7.0138888884685002E-2</v>
      </c>
      <c r="BF347" s="95">
        <v>0</v>
      </c>
      <c r="BG347" s="95">
        <v>0</v>
      </c>
      <c r="BH347" s="95">
        <f t="shared" si="194"/>
        <v>6.9444444452528842E-3</v>
      </c>
      <c r="BI347" s="95">
        <f t="shared" si="194"/>
        <v>0</v>
      </c>
      <c r="BJ347" s="95">
        <f t="shared" si="194"/>
        <v>6.3194444439432118E-2</v>
      </c>
      <c r="BK347" s="95">
        <f t="shared" si="195"/>
        <v>6.3194444439432118E-2</v>
      </c>
      <c r="BL347" s="95">
        <f t="shared" si="196"/>
        <v>6.3194444439432118E-2</v>
      </c>
      <c r="BM347" s="95" t="str">
        <f t="shared" si="197"/>
        <v>00:00</v>
      </c>
      <c r="BN347" s="110"/>
    </row>
    <row r="348" spans="1:66" s="8" customFormat="1" ht="12.75" customHeight="1" x14ac:dyDescent="0.25">
      <c r="A348" s="150">
        <v>306</v>
      </c>
      <c r="B348" s="150">
        <v>71</v>
      </c>
      <c r="C348" s="90">
        <v>12</v>
      </c>
      <c r="D348" s="90" t="s">
        <v>148</v>
      </c>
      <c r="E348" s="91" t="s">
        <v>487</v>
      </c>
      <c r="F348" s="90" t="s">
        <v>16</v>
      </c>
      <c r="G348" s="90" t="s">
        <v>17</v>
      </c>
      <c r="H348" s="90" t="s">
        <v>150</v>
      </c>
      <c r="I348" s="135" t="s">
        <v>505</v>
      </c>
      <c r="J348" s="151">
        <v>45463</v>
      </c>
      <c r="K348" s="135" t="s">
        <v>117</v>
      </c>
      <c r="L348" s="135">
        <v>461000310</v>
      </c>
      <c r="M348" s="151">
        <v>45464</v>
      </c>
      <c r="N348" s="152">
        <v>45464.770833333336</v>
      </c>
      <c r="O348" s="152">
        <v>45464.75</v>
      </c>
      <c r="P348" s="152">
        <v>45464.777777777781</v>
      </c>
      <c r="Q348" s="152">
        <v>45464.916666666664</v>
      </c>
      <c r="R348" s="152">
        <v>45464.770833333336</v>
      </c>
      <c r="S348" s="152" t="s">
        <v>118</v>
      </c>
      <c r="T348" s="114">
        <v>45464.927083333336</v>
      </c>
      <c r="U348" s="114">
        <v>45464.987500000003</v>
      </c>
      <c r="V348" s="165">
        <f t="shared" si="189"/>
        <v>0.16666666666424135</v>
      </c>
      <c r="W348" s="95">
        <v>0.20833333333333334</v>
      </c>
      <c r="X348" s="165" t="str">
        <f t="shared" si="190"/>
        <v>00:00</v>
      </c>
      <c r="Y348" s="96">
        <v>27</v>
      </c>
      <c r="Z348" s="96">
        <v>32</v>
      </c>
      <c r="AA348" s="96">
        <f t="shared" si="198"/>
        <v>59</v>
      </c>
      <c r="AB348" s="97">
        <f t="shared" si="199"/>
        <v>1841.2581355932202</v>
      </c>
      <c r="AC348" s="97">
        <f t="shared" si="200"/>
        <v>2182.2318644067796</v>
      </c>
      <c r="AD348" s="98">
        <v>4023.49</v>
      </c>
      <c r="AE348" s="98">
        <v>4108.3</v>
      </c>
      <c r="AF348" s="98">
        <v>4109.3999999999996</v>
      </c>
      <c r="AG348" s="98">
        <f t="shared" si="201"/>
        <v>85.909999999999854</v>
      </c>
      <c r="AH348" s="99">
        <v>672.5</v>
      </c>
      <c r="AI348" s="100">
        <f t="shared" si="202"/>
        <v>2763571.4999999995</v>
      </c>
      <c r="AJ348" s="100">
        <f t="shared" si="187"/>
        <v>0</v>
      </c>
      <c r="AK348" s="100">
        <v>0</v>
      </c>
      <c r="AL348" s="100">
        <v>0</v>
      </c>
      <c r="AM348" s="100">
        <v>0</v>
      </c>
      <c r="AN348" s="100">
        <v>0</v>
      </c>
      <c r="AO348" s="100">
        <v>0</v>
      </c>
      <c r="AP348" s="100">
        <f t="shared" si="188"/>
        <v>138179</v>
      </c>
      <c r="AQ348" s="101">
        <f t="shared" si="185"/>
        <v>2901751</v>
      </c>
      <c r="AR348" s="101">
        <v>0</v>
      </c>
      <c r="AS348" s="101">
        <v>0</v>
      </c>
      <c r="AT348" s="102" t="s">
        <v>33</v>
      </c>
      <c r="AU348" s="157" t="s">
        <v>118</v>
      </c>
      <c r="AV348" s="100">
        <v>0</v>
      </c>
      <c r="AW348" s="105"/>
      <c r="AX348" s="106">
        <f t="shared" si="191"/>
        <v>2.0905728330169819</v>
      </c>
      <c r="AY348" s="101">
        <f t="shared" si="192"/>
        <v>57775</v>
      </c>
      <c r="AZ348" s="107"/>
      <c r="BA348" s="94">
        <v>45464.770833333336</v>
      </c>
      <c r="BB348" s="94">
        <v>45464.777777777781</v>
      </c>
      <c r="BC348" s="94">
        <v>45464.777777777781</v>
      </c>
      <c r="BD348" s="94">
        <v>45464.839583333334</v>
      </c>
      <c r="BE348" s="95">
        <f t="shared" si="193"/>
        <v>6.8749999998544808E-2</v>
      </c>
      <c r="BF348" s="95">
        <v>0</v>
      </c>
      <c r="BG348" s="95">
        <v>0</v>
      </c>
      <c r="BH348" s="95">
        <f t="shared" si="194"/>
        <v>6.9444444452528842E-3</v>
      </c>
      <c r="BI348" s="95">
        <f t="shared" si="194"/>
        <v>0</v>
      </c>
      <c r="BJ348" s="95">
        <f t="shared" si="194"/>
        <v>6.1805555553291924E-2</v>
      </c>
      <c r="BK348" s="95">
        <f t="shared" si="195"/>
        <v>6.1805555553291924E-2</v>
      </c>
      <c r="BL348" s="95">
        <f t="shared" si="196"/>
        <v>6.1805555553291924E-2</v>
      </c>
      <c r="BM348" s="95" t="str">
        <f t="shared" si="197"/>
        <v>00:00</v>
      </c>
      <c r="BN348" s="110"/>
    </row>
    <row r="349" spans="1:66" s="8" customFormat="1" ht="12.75" customHeight="1" x14ac:dyDescent="0.25">
      <c r="A349" s="150">
        <v>307</v>
      </c>
      <c r="B349" s="150">
        <v>72</v>
      </c>
      <c r="C349" s="90">
        <v>13</v>
      </c>
      <c r="D349" s="90" t="s">
        <v>148</v>
      </c>
      <c r="E349" s="91" t="s">
        <v>487</v>
      </c>
      <c r="F349" s="90" t="s">
        <v>16</v>
      </c>
      <c r="G349" s="90" t="s">
        <v>17</v>
      </c>
      <c r="H349" s="90" t="s">
        <v>150</v>
      </c>
      <c r="I349" s="135" t="s">
        <v>506</v>
      </c>
      <c r="J349" s="151">
        <v>45464</v>
      </c>
      <c r="K349" s="135" t="s">
        <v>117</v>
      </c>
      <c r="L349" s="135">
        <v>461000311</v>
      </c>
      <c r="M349" s="151">
        <v>45465</v>
      </c>
      <c r="N349" s="152">
        <v>45465.09375</v>
      </c>
      <c r="O349" s="152">
        <v>45465.09375</v>
      </c>
      <c r="P349" s="152">
        <v>45465.131944444445</v>
      </c>
      <c r="Q349" s="152">
        <v>45465.302083333336</v>
      </c>
      <c r="R349" s="152" t="s">
        <v>118</v>
      </c>
      <c r="S349" s="152" t="s">
        <v>118</v>
      </c>
      <c r="T349" s="114">
        <v>45466.3125</v>
      </c>
      <c r="U349" s="114">
        <v>45466.432638888888</v>
      </c>
      <c r="V349" s="165">
        <f t="shared" si="189"/>
        <v>0.20833333333575865</v>
      </c>
      <c r="W349" s="95">
        <v>0.20833333333333334</v>
      </c>
      <c r="X349" s="165">
        <f t="shared" si="190"/>
        <v>2.4253099528692701E-12</v>
      </c>
      <c r="Y349" s="96">
        <v>29</v>
      </c>
      <c r="Z349" s="96">
        <v>29</v>
      </c>
      <c r="AA349" s="96">
        <f t="shared" si="198"/>
        <v>58</v>
      </c>
      <c r="AB349" s="97">
        <f t="shared" si="199"/>
        <v>1953.2349999999997</v>
      </c>
      <c r="AC349" s="97">
        <f t="shared" si="200"/>
        <v>1953.2349999999997</v>
      </c>
      <c r="AD349" s="98">
        <v>3906.47</v>
      </c>
      <c r="AE349" s="98">
        <v>4052.1</v>
      </c>
      <c r="AF349" s="98">
        <v>4054.4</v>
      </c>
      <c r="AG349" s="98">
        <f t="shared" si="201"/>
        <v>147.93000000000029</v>
      </c>
      <c r="AH349" s="99">
        <v>672.5</v>
      </c>
      <c r="AI349" s="100">
        <f t="shared" si="202"/>
        <v>2726584</v>
      </c>
      <c r="AJ349" s="100">
        <f>(0.2*AH349)*2</f>
        <v>269</v>
      </c>
      <c r="AK349" s="100">
        <v>0</v>
      </c>
      <c r="AL349" s="100">
        <v>0</v>
      </c>
      <c r="AM349" s="100">
        <v>0</v>
      </c>
      <c r="AN349" s="100">
        <v>0</v>
      </c>
      <c r="AO349" s="100">
        <v>0</v>
      </c>
      <c r="AP349" s="100">
        <f t="shared" si="188"/>
        <v>136343</v>
      </c>
      <c r="AQ349" s="101">
        <f t="shared" si="185"/>
        <v>2863196</v>
      </c>
      <c r="AR349" s="101">
        <v>0</v>
      </c>
      <c r="AS349" s="101">
        <v>0</v>
      </c>
      <c r="AT349" s="102" t="s">
        <v>33</v>
      </c>
      <c r="AU349" s="157" t="s">
        <v>118</v>
      </c>
      <c r="AV349" s="100">
        <v>0</v>
      </c>
      <c r="AW349" s="105"/>
      <c r="AX349" s="106">
        <f t="shared" si="191"/>
        <v>3.6486286503551768</v>
      </c>
      <c r="AY349" s="101">
        <f t="shared" si="192"/>
        <v>99483</v>
      </c>
      <c r="AZ349" s="107"/>
      <c r="BA349" s="152">
        <v>45465.09375</v>
      </c>
      <c r="BB349" s="152">
        <v>45465.131944444445</v>
      </c>
      <c r="BC349" s="94">
        <v>45465.140972222223</v>
      </c>
      <c r="BD349" s="94">
        <v>45465.309027777781</v>
      </c>
      <c r="BE349" s="95">
        <f t="shared" si="193"/>
        <v>0.21527777778101154</v>
      </c>
      <c r="BF349" s="95">
        <v>2.9861111111111113E-2</v>
      </c>
      <c r="BG349" s="95">
        <v>7.4305555555555555E-2</v>
      </c>
      <c r="BH349" s="95">
        <f t="shared" si="194"/>
        <v>3.8194444445252884E-2</v>
      </c>
      <c r="BI349" s="95">
        <f t="shared" si="194"/>
        <v>9.0277777781011537E-3</v>
      </c>
      <c r="BJ349" s="95">
        <f t="shared" si="194"/>
        <v>0.1680555555576575</v>
      </c>
      <c r="BK349" s="95">
        <f t="shared" si="195"/>
        <v>0.17708333333575865</v>
      </c>
      <c r="BL349" s="95">
        <f t="shared" si="196"/>
        <v>7.2916666669091981E-2</v>
      </c>
      <c r="BM349" s="95">
        <f t="shared" si="197"/>
        <v>6.9444444476781941E-3</v>
      </c>
      <c r="BN349" s="110"/>
    </row>
    <row r="350" spans="1:66" s="8" customFormat="1" ht="12.75" customHeight="1" x14ac:dyDescent="0.25">
      <c r="A350" s="111">
        <v>308</v>
      </c>
      <c r="B350" s="150">
        <v>73</v>
      </c>
      <c r="C350" s="90">
        <v>22</v>
      </c>
      <c r="D350" s="90" t="s">
        <v>113</v>
      </c>
      <c r="E350" s="91" t="s">
        <v>319</v>
      </c>
      <c r="F350" s="90" t="s">
        <v>32</v>
      </c>
      <c r="G350" s="90" t="s">
        <v>8</v>
      </c>
      <c r="H350" s="90" t="s">
        <v>146</v>
      </c>
      <c r="I350" s="135" t="s">
        <v>507</v>
      </c>
      <c r="J350" s="151">
        <v>45460</v>
      </c>
      <c r="K350" s="135" t="s">
        <v>117</v>
      </c>
      <c r="L350" s="135">
        <v>261005778</v>
      </c>
      <c r="M350" s="151">
        <v>45465</v>
      </c>
      <c r="N350" s="152">
        <v>45465.479166666664</v>
      </c>
      <c r="O350" s="152">
        <v>45465.479166666664</v>
      </c>
      <c r="P350" s="152">
        <v>45465.538194444445</v>
      </c>
      <c r="Q350" s="152">
        <v>45465.6875</v>
      </c>
      <c r="R350" s="114" t="s">
        <v>118</v>
      </c>
      <c r="S350" s="114">
        <v>45465.71875</v>
      </c>
      <c r="T350" s="114">
        <v>45466.729166666664</v>
      </c>
      <c r="U350" s="114">
        <v>45466.828472222223</v>
      </c>
      <c r="V350" s="165">
        <f t="shared" si="189"/>
        <v>0.20833333333575865</v>
      </c>
      <c r="W350" s="95">
        <v>0.20833333333333334</v>
      </c>
      <c r="X350" s="165">
        <f t="shared" si="190"/>
        <v>2.4253099528692701E-12</v>
      </c>
      <c r="Y350" s="96">
        <v>27</v>
      </c>
      <c r="Z350" s="96">
        <v>32</v>
      </c>
      <c r="AA350" s="96">
        <f t="shared" si="198"/>
        <v>59</v>
      </c>
      <c r="AB350" s="97">
        <f t="shared" si="199"/>
        <v>1852.2961016949153</v>
      </c>
      <c r="AC350" s="97">
        <f t="shared" si="200"/>
        <v>2195.3138983050849</v>
      </c>
      <c r="AD350" s="98">
        <v>4047.61</v>
      </c>
      <c r="AE350" s="98">
        <v>4123.3999999999996</v>
      </c>
      <c r="AF350" s="98">
        <v>4130.6000000000004</v>
      </c>
      <c r="AG350" s="98">
        <f t="shared" si="201"/>
        <v>82.990000000000236</v>
      </c>
      <c r="AH350" s="99">
        <v>1398.7</v>
      </c>
      <c r="AI350" s="100">
        <f t="shared" si="202"/>
        <v>5777470.2200000007</v>
      </c>
      <c r="AJ350" s="100">
        <f>(0.8*AH350)*2</f>
        <v>2237.92</v>
      </c>
      <c r="AK350" s="100">
        <v>0</v>
      </c>
      <c r="AL350" s="100">
        <v>0</v>
      </c>
      <c r="AM350" s="100">
        <v>0</v>
      </c>
      <c r="AN350" s="100">
        <v>0</v>
      </c>
      <c r="AO350" s="100">
        <v>0</v>
      </c>
      <c r="AP350" s="100">
        <f t="shared" si="188"/>
        <v>288986</v>
      </c>
      <c r="AQ350" s="101">
        <f t="shared" si="185"/>
        <v>6068695</v>
      </c>
      <c r="AR350" s="101">
        <v>0</v>
      </c>
      <c r="AS350" s="101">
        <v>0</v>
      </c>
      <c r="AT350" s="102" t="s">
        <v>33</v>
      </c>
      <c r="AU350" s="157" t="s">
        <v>118</v>
      </c>
      <c r="AV350" s="100">
        <v>0</v>
      </c>
      <c r="AW350" s="105"/>
      <c r="AX350" s="106">
        <f t="shared" si="191"/>
        <v>2.0091512128988578</v>
      </c>
      <c r="AY350" s="101">
        <f t="shared" si="192"/>
        <v>116079</v>
      </c>
      <c r="AZ350" s="107"/>
      <c r="BA350" s="94">
        <v>45465.479166666664</v>
      </c>
      <c r="BB350" s="94">
        <v>45465.538194444445</v>
      </c>
      <c r="BC350" s="94">
        <v>45465.538194444445</v>
      </c>
      <c r="BD350" s="94">
        <v>45465.620138888888</v>
      </c>
      <c r="BE350" s="95">
        <f t="shared" si="193"/>
        <v>0.14097222222335404</v>
      </c>
      <c r="BF350" s="95">
        <v>3.472222222222222E-3</v>
      </c>
      <c r="BG350" s="95">
        <v>0</v>
      </c>
      <c r="BH350" s="95">
        <f t="shared" si="194"/>
        <v>5.9027777781011537E-2</v>
      </c>
      <c r="BI350" s="95">
        <f t="shared" si="194"/>
        <v>0</v>
      </c>
      <c r="BJ350" s="95">
        <f t="shared" si="194"/>
        <v>8.1944444442342501E-2</v>
      </c>
      <c r="BK350" s="95">
        <f t="shared" si="195"/>
        <v>8.1944444442342501E-2</v>
      </c>
      <c r="BL350" s="95">
        <f t="shared" si="196"/>
        <v>7.8472222220120277E-2</v>
      </c>
      <c r="BM350" s="95" t="str">
        <f t="shared" si="197"/>
        <v>00:00</v>
      </c>
      <c r="BN350" s="110"/>
    </row>
    <row r="351" spans="1:66" s="8" customFormat="1" ht="12.75" customHeight="1" x14ac:dyDescent="0.25">
      <c r="A351" s="150">
        <v>309</v>
      </c>
      <c r="B351" s="111">
        <v>74</v>
      </c>
      <c r="C351" s="90">
        <v>19</v>
      </c>
      <c r="D351" s="90" t="s">
        <v>113</v>
      </c>
      <c r="E351" s="91" t="s">
        <v>173</v>
      </c>
      <c r="F351" s="90" t="s">
        <v>27</v>
      </c>
      <c r="G351" s="90" t="s">
        <v>12</v>
      </c>
      <c r="H351" s="90" t="s">
        <v>115</v>
      </c>
      <c r="I351" s="96" t="s">
        <v>508</v>
      </c>
      <c r="J351" s="113">
        <v>45465</v>
      </c>
      <c r="K351" s="135" t="s">
        <v>491</v>
      </c>
      <c r="L351" s="135">
        <v>282000985</v>
      </c>
      <c r="M351" s="151">
        <v>45466</v>
      </c>
      <c r="N351" s="114">
        <v>45465.708333333336</v>
      </c>
      <c r="O351" s="114">
        <v>45465.708333333336</v>
      </c>
      <c r="P351" s="114">
        <v>45465.78125</v>
      </c>
      <c r="Q351" s="114">
        <v>45465.916666666664</v>
      </c>
      <c r="R351" s="114" t="s">
        <v>118</v>
      </c>
      <c r="S351" s="94">
        <v>45466.065972222219</v>
      </c>
      <c r="T351" s="94">
        <v>45467.0625</v>
      </c>
      <c r="U351" s="94">
        <v>45467.238888888889</v>
      </c>
      <c r="V351" s="95">
        <f t="shared" si="189"/>
        <v>0.20833333332848269</v>
      </c>
      <c r="W351" s="95">
        <v>0.20833333333333334</v>
      </c>
      <c r="X351" s="95" t="str">
        <f t="shared" si="190"/>
        <v>00:00</v>
      </c>
      <c r="Y351" s="168">
        <v>1</v>
      </c>
      <c r="Z351" s="96">
        <v>45</v>
      </c>
      <c r="AA351" s="96">
        <f t="shared" si="198"/>
        <v>46</v>
      </c>
      <c r="AB351" s="97">
        <f t="shared" si="199"/>
        <v>57.926086956521736</v>
      </c>
      <c r="AC351" s="97">
        <f t="shared" si="200"/>
        <v>2606.673913043478</v>
      </c>
      <c r="AD351" s="98">
        <v>2664.6</v>
      </c>
      <c r="AE351" s="98">
        <v>2994.6</v>
      </c>
      <c r="AF351" s="98">
        <v>2994.6</v>
      </c>
      <c r="AG351" s="98">
        <f t="shared" si="201"/>
        <v>330</v>
      </c>
      <c r="AH351" s="99">
        <v>1586.7</v>
      </c>
      <c r="AI351" s="100">
        <f t="shared" si="202"/>
        <v>4751531.82</v>
      </c>
      <c r="AJ351" s="100">
        <f>(0*AH351)*2</f>
        <v>0</v>
      </c>
      <c r="AK351" s="100">
        <v>0</v>
      </c>
      <c r="AL351" s="100">
        <v>0</v>
      </c>
      <c r="AM351" s="100">
        <v>0</v>
      </c>
      <c r="AN351" s="100">
        <v>0</v>
      </c>
      <c r="AO351" s="100">
        <f>IFERROR(AF351*20+(((AJ351/AH351)/2)*20),0)</f>
        <v>59892</v>
      </c>
      <c r="AP351" s="100">
        <f t="shared" si="188"/>
        <v>240572</v>
      </c>
      <c r="AQ351" s="101">
        <f t="shared" si="185"/>
        <v>5051996</v>
      </c>
      <c r="AR351" s="101">
        <v>0</v>
      </c>
      <c r="AS351" s="101">
        <v>0</v>
      </c>
      <c r="AT351" s="102" t="s">
        <v>36</v>
      </c>
      <c r="AU351" s="169" t="s">
        <v>118</v>
      </c>
      <c r="AV351" s="104">
        <v>0</v>
      </c>
      <c r="AW351" s="170"/>
      <c r="AX351" s="106">
        <f t="shared" si="191"/>
        <v>11.019835704267681</v>
      </c>
      <c r="AY351" s="101">
        <f t="shared" si="192"/>
        <v>523611</v>
      </c>
      <c r="AZ351" s="107"/>
      <c r="BA351" s="94">
        <v>45465.708333333336</v>
      </c>
      <c r="BB351" s="94">
        <v>45465.78125</v>
      </c>
      <c r="BC351" s="94">
        <v>45465.78125</v>
      </c>
      <c r="BD351" s="94">
        <v>45466.038888888892</v>
      </c>
      <c r="BE351" s="95">
        <f t="shared" si="193"/>
        <v>0.33055555555620231</v>
      </c>
      <c r="BF351" s="95">
        <v>6.5277777777777782E-2</v>
      </c>
      <c r="BG351" s="95">
        <v>4.8611111111111112E-2</v>
      </c>
      <c r="BH351" s="95">
        <f t="shared" si="194"/>
        <v>7.2916666664241347E-2</v>
      </c>
      <c r="BI351" s="95">
        <f t="shared" si="194"/>
        <v>0</v>
      </c>
      <c r="BJ351" s="95">
        <f t="shared" si="194"/>
        <v>0.25763888889196096</v>
      </c>
      <c r="BK351" s="95">
        <f t="shared" si="195"/>
        <v>0.25763888889196096</v>
      </c>
      <c r="BL351" s="95">
        <f t="shared" si="196"/>
        <v>0.14375000000307209</v>
      </c>
      <c r="BM351" s="95">
        <f t="shared" si="197"/>
        <v>0.12222222222286896</v>
      </c>
      <c r="BN351" s="110"/>
    </row>
    <row r="352" spans="1:66" s="8" customFormat="1" ht="12.75" customHeight="1" x14ac:dyDescent="0.25">
      <c r="A352" s="150">
        <v>310</v>
      </c>
      <c r="B352" s="150">
        <v>75</v>
      </c>
      <c r="C352" s="90">
        <v>23</v>
      </c>
      <c r="D352" s="90" t="s">
        <v>113</v>
      </c>
      <c r="E352" s="91" t="s">
        <v>319</v>
      </c>
      <c r="F352" s="90" t="s">
        <v>32</v>
      </c>
      <c r="G352" s="90" t="s">
        <v>8</v>
      </c>
      <c r="H352" s="90" t="s">
        <v>146</v>
      </c>
      <c r="I352" s="135" t="s">
        <v>509</v>
      </c>
      <c r="J352" s="151">
        <v>45466</v>
      </c>
      <c r="K352" s="135" t="s">
        <v>117</v>
      </c>
      <c r="L352" s="135">
        <v>261005781</v>
      </c>
      <c r="M352" s="151">
        <v>45466</v>
      </c>
      <c r="N352" s="152">
        <v>45466.1875</v>
      </c>
      <c r="O352" s="152">
        <v>45466.145833333336</v>
      </c>
      <c r="P352" s="152">
        <v>45466.204861111109</v>
      </c>
      <c r="Q352" s="152">
        <v>45466.34375</v>
      </c>
      <c r="R352" s="152">
        <v>45466.1875</v>
      </c>
      <c r="S352" s="114" t="s">
        <v>118</v>
      </c>
      <c r="T352" s="114">
        <v>45467.399305555555</v>
      </c>
      <c r="U352" s="114">
        <v>45467.506944444445</v>
      </c>
      <c r="V352" s="165">
        <f t="shared" si="189"/>
        <v>0.19791666666424135</v>
      </c>
      <c r="W352" s="95">
        <v>0.20833333333333334</v>
      </c>
      <c r="X352" s="165" t="str">
        <f t="shared" si="190"/>
        <v>00:00</v>
      </c>
      <c r="Y352" s="96">
        <v>26</v>
      </c>
      <c r="Z352" s="96">
        <v>32</v>
      </c>
      <c r="AA352" s="96">
        <f t="shared" si="198"/>
        <v>58</v>
      </c>
      <c r="AB352" s="97">
        <f t="shared" si="199"/>
        <v>1775.2306896551722</v>
      </c>
      <c r="AC352" s="97">
        <f t="shared" si="200"/>
        <v>2184.8993103448274</v>
      </c>
      <c r="AD352" s="98">
        <v>3960.13</v>
      </c>
      <c r="AE352" s="98">
        <v>4040.8</v>
      </c>
      <c r="AF352" s="98">
        <v>4043</v>
      </c>
      <c r="AG352" s="98">
        <f t="shared" si="201"/>
        <v>82.869999999999891</v>
      </c>
      <c r="AH352" s="99">
        <v>1398.7</v>
      </c>
      <c r="AI352" s="100">
        <f t="shared" si="202"/>
        <v>5654944.1000000006</v>
      </c>
      <c r="AJ352" s="100">
        <f>(0*AH352)*2</f>
        <v>0</v>
      </c>
      <c r="AK352" s="100">
        <v>0</v>
      </c>
      <c r="AL352" s="100">
        <v>24140</v>
      </c>
      <c r="AM352" s="100">
        <v>0</v>
      </c>
      <c r="AN352" s="100">
        <v>0</v>
      </c>
      <c r="AO352" s="100">
        <v>0</v>
      </c>
      <c r="AP352" s="100">
        <f t="shared" si="188"/>
        <v>283955</v>
      </c>
      <c r="AQ352" s="101">
        <f t="shared" si="185"/>
        <v>5963040</v>
      </c>
      <c r="AR352" s="101">
        <v>0</v>
      </c>
      <c r="AS352" s="101">
        <v>0</v>
      </c>
      <c r="AT352" s="102" t="s">
        <v>33</v>
      </c>
      <c r="AU352" s="157">
        <v>1</v>
      </c>
      <c r="AV352" s="100">
        <f>2.8-1.8</f>
        <v>0.99999999999999978</v>
      </c>
      <c r="AW352" s="105"/>
      <c r="AX352" s="106">
        <f t="shared" si="191"/>
        <v>2.0497155577541402</v>
      </c>
      <c r="AY352" s="101">
        <f t="shared" si="192"/>
        <v>115911</v>
      </c>
      <c r="AZ352" s="107"/>
      <c r="BA352" s="94">
        <v>45466.1875</v>
      </c>
      <c r="BB352" s="94">
        <v>45466.204861111109</v>
      </c>
      <c r="BC352" s="94">
        <v>45466.204861111109</v>
      </c>
      <c r="BD352" s="94">
        <v>45466.326388888891</v>
      </c>
      <c r="BE352" s="95">
        <f t="shared" si="193"/>
        <v>0.13888888889050577</v>
      </c>
      <c r="BF352" s="95">
        <v>0</v>
      </c>
      <c r="BG352" s="95">
        <v>4.6527777777777779E-2</v>
      </c>
      <c r="BH352" s="95">
        <f t="shared" si="194"/>
        <v>1.7361111109494232E-2</v>
      </c>
      <c r="BI352" s="95">
        <f t="shared" si="194"/>
        <v>0</v>
      </c>
      <c r="BJ352" s="95">
        <f t="shared" si="194"/>
        <v>0.12152777778101154</v>
      </c>
      <c r="BK352" s="95">
        <f t="shared" si="195"/>
        <v>0.12152777778101154</v>
      </c>
      <c r="BL352" s="95">
        <f t="shared" si="196"/>
        <v>7.5000000003233758E-2</v>
      </c>
      <c r="BM352" s="95" t="str">
        <f t="shared" si="197"/>
        <v>00:00</v>
      </c>
      <c r="BN352" s="110"/>
    </row>
    <row r="353" spans="1:66" s="8" customFormat="1" ht="12.75" customHeight="1" x14ac:dyDescent="0.25">
      <c r="A353" s="150">
        <v>311</v>
      </c>
      <c r="B353" s="150">
        <v>76</v>
      </c>
      <c r="C353" s="90">
        <v>24</v>
      </c>
      <c r="D353" s="90" t="s">
        <v>113</v>
      </c>
      <c r="E353" s="91" t="s">
        <v>319</v>
      </c>
      <c r="F353" s="90" t="s">
        <v>32</v>
      </c>
      <c r="G353" s="90" t="s">
        <v>8</v>
      </c>
      <c r="H353" s="90" t="s">
        <v>120</v>
      </c>
      <c r="I353" s="135" t="s">
        <v>510</v>
      </c>
      <c r="J353" s="151">
        <v>45466</v>
      </c>
      <c r="K353" s="135" t="s">
        <v>117</v>
      </c>
      <c r="L353" s="135">
        <v>261005785</v>
      </c>
      <c r="M353" s="151">
        <v>45467</v>
      </c>
      <c r="N353" s="152">
        <v>45467.3125</v>
      </c>
      <c r="O353" s="152">
        <v>45467.3125</v>
      </c>
      <c r="P353" s="152">
        <v>45467.319444444445</v>
      </c>
      <c r="Q353" s="152">
        <v>45467.520833333336</v>
      </c>
      <c r="R353" s="114" t="s">
        <v>118</v>
      </c>
      <c r="S353" s="114" t="s">
        <v>118</v>
      </c>
      <c r="T353" s="114">
        <v>45467.555555555555</v>
      </c>
      <c r="U353" s="114">
        <v>45467.634027777778</v>
      </c>
      <c r="V353" s="165">
        <f t="shared" si="189"/>
        <v>0.20833333333575865</v>
      </c>
      <c r="W353" s="95">
        <v>0.20833333333333334</v>
      </c>
      <c r="X353" s="165">
        <f t="shared" si="190"/>
        <v>2.4253099528692701E-12</v>
      </c>
      <c r="Y353" s="96">
        <v>27</v>
      </c>
      <c r="Z353" s="96">
        <v>32</v>
      </c>
      <c r="AA353" s="96">
        <f t="shared" si="198"/>
        <v>59</v>
      </c>
      <c r="AB353" s="97">
        <f t="shared" si="199"/>
        <v>1849.7379661016951</v>
      </c>
      <c r="AC353" s="97">
        <f t="shared" si="200"/>
        <v>2192.2820338983051</v>
      </c>
      <c r="AD353" s="98">
        <v>4042.02</v>
      </c>
      <c r="AE353" s="98">
        <v>4115</v>
      </c>
      <c r="AF353" s="98">
        <v>4118.8</v>
      </c>
      <c r="AG353" s="98">
        <f t="shared" si="201"/>
        <v>76.7800000000002</v>
      </c>
      <c r="AH353" s="99">
        <v>1398.7</v>
      </c>
      <c r="AI353" s="100">
        <f t="shared" si="202"/>
        <v>5760965.5600000005</v>
      </c>
      <c r="AJ353" s="100">
        <f>(0.2*AH353)*2</f>
        <v>559.48</v>
      </c>
      <c r="AK353" s="100">
        <v>0</v>
      </c>
      <c r="AL353" s="100">
        <v>0</v>
      </c>
      <c r="AM353" s="100">
        <v>0</v>
      </c>
      <c r="AN353" s="100">
        <v>0</v>
      </c>
      <c r="AO353" s="100">
        <v>0</v>
      </c>
      <c r="AP353" s="100">
        <f t="shared" si="188"/>
        <v>288077</v>
      </c>
      <c r="AQ353" s="101">
        <f t="shared" si="185"/>
        <v>6049603</v>
      </c>
      <c r="AR353" s="101">
        <v>0</v>
      </c>
      <c r="AS353" s="101">
        <v>0</v>
      </c>
      <c r="AT353" s="102" t="s">
        <v>33</v>
      </c>
      <c r="AU353" s="157" t="s">
        <v>118</v>
      </c>
      <c r="AV353" s="100">
        <v>0</v>
      </c>
      <c r="AW353" s="105"/>
      <c r="AX353" s="106">
        <f t="shared" si="191"/>
        <v>1.8641351850053463</v>
      </c>
      <c r="AY353" s="101">
        <f t="shared" si="192"/>
        <v>107393</v>
      </c>
      <c r="AZ353" s="107"/>
      <c r="BA353" s="94">
        <v>45467.3125</v>
      </c>
      <c r="BB353" s="94">
        <v>45467.319444444445</v>
      </c>
      <c r="BC353" s="94">
        <v>45467.340277777781</v>
      </c>
      <c r="BD353" s="94">
        <v>45467.40625</v>
      </c>
      <c r="BE353" s="95">
        <f t="shared" si="193"/>
        <v>9.375E-2</v>
      </c>
      <c r="BF353" s="95">
        <v>6.9444444444444441E-3</v>
      </c>
      <c r="BG353" s="95">
        <v>1.3888888888888888E-2</v>
      </c>
      <c r="BH353" s="95">
        <f t="shared" si="194"/>
        <v>6.9444444452528842E-3</v>
      </c>
      <c r="BI353" s="95">
        <f t="shared" si="194"/>
        <v>2.0833333335758653E-2</v>
      </c>
      <c r="BJ353" s="95">
        <f t="shared" si="194"/>
        <v>6.5972222218988463E-2</v>
      </c>
      <c r="BK353" s="95">
        <f t="shared" si="195"/>
        <v>8.6805555554747116E-2</v>
      </c>
      <c r="BL353" s="95">
        <f t="shared" si="196"/>
        <v>6.5972222221413773E-2</v>
      </c>
      <c r="BM353" s="95" t="str">
        <f t="shared" si="197"/>
        <v>00:00</v>
      </c>
      <c r="BN353" s="110"/>
    </row>
    <row r="354" spans="1:66" s="8" customFormat="1" ht="12.75" customHeight="1" x14ac:dyDescent="0.25">
      <c r="A354" s="111">
        <v>312</v>
      </c>
      <c r="B354" s="150">
        <v>77</v>
      </c>
      <c r="C354" s="90">
        <v>25</v>
      </c>
      <c r="D354" s="90" t="s">
        <v>113</v>
      </c>
      <c r="E354" s="91" t="s">
        <v>319</v>
      </c>
      <c r="F354" s="90" t="s">
        <v>32</v>
      </c>
      <c r="G354" s="90" t="s">
        <v>8</v>
      </c>
      <c r="H354" s="90" t="s">
        <v>146</v>
      </c>
      <c r="I354" s="135" t="s">
        <v>511</v>
      </c>
      <c r="J354" s="151">
        <v>45467</v>
      </c>
      <c r="K354" s="135" t="s">
        <v>117</v>
      </c>
      <c r="L354" s="135">
        <v>261005786</v>
      </c>
      <c r="M354" s="151">
        <v>45468</v>
      </c>
      <c r="N354" s="152">
        <v>45467.715277777781</v>
      </c>
      <c r="O354" s="152">
        <v>45467.715277777781</v>
      </c>
      <c r="P354" s="152">
        <v>45467.71875</v>
      </c>
      <c r="Q354" s="152">
        <v>45467.923611111109</v>
      </c>
      <c r="R354" s="114" t="s">
        <v>118</v>
      </c>
      <c r="S354" s="114">
        <v>45467.947916666664</v>
      </c>
      <c r="T354" s="114">
        <v>45468.0625</v>
      </c>
      <c r="U354" s="114">
        <v>45468.130555555559</v>
      </c>
      <c r="V354" s="165">
        <f t="shared" si="189"/>
        <v>0.20833333332848269</v>
      </c>
      <c r="W354" s="95">
        <v>0.20833333333333334</v>
      </c>
      <c r="X354" s="165" t="str">
        <f t="shared" si="190"/>
        <v>00:00</v>
      </c>
      <c r="Y354" s="96">
        <v>28</v>
      </c>
      <c r="Z354" s="96">
        <v>30</v>
      </c>
      <c r="AA354" s="96">
        <f t="shared" si="198"/>
        <v>58</v>
      </c>
      <c r="AB354" s="97">
        <f t="shared" si="199"/>
        <v>1896.488275862069</v>
      </c>
      <c r="AC354" s="97">
        <f t="shared" si="200"/>
        <v>2031.9517241379313</v>
      </c>
      <c r="AD354" s="98">
        <v>3928.44</v>
      </c>
      <c r="AE354" s="98">
        <v>4028.8</v>
      </c>
      <c r="AF354" s="98">
        <v>4032.2</v>
      </c>
      <c r="AG354" s="98">
        <f t="shared" si="201"/>
        <v>103.75999999999976</v>
      </c>
      <c r="AH354" s="99">
        <v>1398.7</v>
      </c>
      <c r="AI354" s="100">
        <f t="shared" si="202"/>
        <v>5639838.1399999997</v>
      </c>
      <c r="AJ354" s="100">
        <f>(0.4*AH354)*2</f>
        <v>1118.96</v>
      </c>
      <c r="AK354" s="100">
        <v>0</v>
      </c>
      <c r="AL354" s="100">
        <v>0</v>
      </c>
      <c r="AM354" s="100">
        <v>0</v>
      </c>
      <c r="AN354" s="100">
        <v>0</v>
      </c>
      <c r="AO354" s="100">
        <v>0</v>
      </c>
      <c r="AP354" s="100">
        <f t="shared" si="188"/>
        <v>282048</v>
      </c>
      <c r="AQ354" s="101">
        <f t="shared" ref="AQ354:AQ356" si="203">ROUNDUP(SUM(AI354:AP354),0)</f>
        <v>5923006</v>
      </c>
      <c r="AR354" s="101">
        <v>0</v>
      </c>
      <c r="AS354" s="101">
        <v>0</v>
      </c>
      <c r="AT354" s="102" t="s">
        <v>33</v>
      </c>
      <c r="AU354" s="157" t="s">
        <v>118</v>
      </c>
      <c r="AV354" s="100">
        <v>0</v>
      </c>
      <c r="AW354" s="105"/>
      <c r="AX354" s="106">
        <f t="shared" si="191"/>
        <v>2.5732850553047908</v>
      </c>
      <c r="AY354" s="101">
        <f t="shared" si="192"/>
        <v>145130</v>
      </c>
      <c r="AZ354" s="107"/>
      <c r="BA354" s="94">
        <v>45467.715277777781</v>
      </c>
      <c r="BB354" s="94">
        <v>45467.71875</v>
      </c>
      <c r="BC354" s="94">
        <v>45467.71875</v>
      </c>
      <c r="BD354" s="94">
        <v>45467.935416666667</v>
      </c>
      <c r="BE354" s="95">
        <f t="shared" si="193"/>
        <v>0.22013888888614019</v>
      </c>
      <c r="BF354" s="95">
        <v>0.14583333333333334</v>
      </c>
      <c r="BG354" s="95">
        <v>0</v>
      </c>
      <c r="BH354" s="95">
        <f t="shared" si="194"/>
        <v>3.4722222189884633E-3</v>
      </c>
      <c r="BI354" s="95">
        <f t="shared" si="194"/>
        <v>0</v>
      </c>
      <c r="BJ354" s="95">
        <f t="shared" si="194"/>
        <v>0.21666666666715173</v>
      </c>
      <c r="BK354" s="95">
        <f t="shared" si="195"/>
        <v>0.21666666666715173</v>
      </c>
      <c r="BL354" s="95">
        <f t="shared" si="196"/>
        <v>7.0833333333818388E-2</v>
      </c>
      <c r="BM354" s="95">
        <f t="shared" si="197"/>
        <v>1.1805555552806851E-2</v>
      </c>
      <c r="BN354" s="110"/>
    </row>
    <row r="355" spans="1:66" s="8" customFormat="1" ht="12.75" customHeight="1" x14ac:dyDescent="0.25">
      <c r="A355" s="171">
        <v>313</v>
      </c>
      <c r="B355" s="111">
        <v>78</v>
      </c>
      <c r="C355" s="111">
        <v>14</v>
      </c>
      <c r="D355" s="111" t="s">
        <v>148</v>
      </c>
      <c r="E355" s="91" t="s">
        <v>487</v>
      </c>
      <c r="F355" s="111" t="s">
        <v>16</v>
      </c>
      <c r="G355" s="111" t="s">
        <v>17</v>
      </c>
      <c r="H355" s="111" t="s">
        <v>150</v>
      </c>
      <c r="I355" s="96" t="s">
        <v>512</v>
      </c>
      <c r="J355" s="151">
        <v>45467</v>
      </c>
      <c r="K355" s="96" t="s">
        <v>117</v>
      </c>
      <c r="L355" s="96">
        <v>461000312</v>
      </c>
      <c r="M355" s="151">
        <v>45468</v>
      </c>
      <c r="N355" s="114">
        <v>45468.5</v>
      </c>
      <c r="O355" s="114">
        <v>45468.5</v>
      </c>
      <c r="P355" s="114">
        <v>45468.506944444445</v>
      </c>
      <c r="Q355" s="114">
        <v>45468.708333333336</v>
      </c>
      <c r="R355" s="114" t="s">
        <v>118</v>
      </c>
      <c r="S355" s="114" t="s">
        <v>118</v>
      </c>
      <c r="T355" s="114">
        <v>45468.736111111109</v>
      </c>
      <c r="U355" s="114">
        <v>45468.787499999999</v>
      </c>
      <c r="V355" s="165">
        <f t="shared" si="189"/>
        <v>0.20833333333575865</v>
      </c>
      <c r="W355" s="165">
        <v>0.20833333333333334</v>
      </c>
      <c r="X355" s="165">
        <f t="shared" si="190"/>
        <v>2.4253099528692701E-12</v>
      </c>
      <c r="Y355" s="96">
        <v>26</v>
      </c>
      <c r="Z355" s="96">
        <v>32</v>
      </c>
      <c r="AA355" s="96">
        <f t="shared" si="198"/>
        <v>58</v>
      </c>
      <c r="AB355" s="97">
        <f t="shared" si="199"/>
        <v>1789.248275862069</v>
      </c>
      <c r="AC355" s="97">
        <f t="shared" si="200"/>
        <v>2202.1517241379311</v>
      </c>
      <c r="AD355" s="98">
        <v>3991.4</v>
      </c>
      <c r="AE355" s="98">
        <v>4060</v>
      </c>
      <c r="AF355" s="98">
        <v>4065</v>
      </c>
      <c r="AG355" s="98">
        <f t="shared" si="201"/>
        <v>73.599999999999909</v>
      </c>
      <c r="AH355" s="99">
        <v>672.5</v>
      </c>
      <c r="AI355" s="100">
        <f t="shared" si="202"/>
        <v>2733712.5</v>
      </c>
      <c r="AJ355" s="100">
        <f>(1*AH355)*2</f>
        <v>1345</v>
      </c>
      <c r="AK355" s="100">
        <v>0</v>
      </c>
      <c r="AL355" s="100">
        <v>0</v>
      </c>
      <c r="AM355" s="100">
        <v>0</v>
      </c>
      <c r="AN355" s="100">
        <v>0</v>
      </c>
      <c r="AO355" s="100">
        <v>0</v>
      </c>
      <c r="AP355" s="100">
        <f t="shared" si="188"/>
        <v>136753</v>
      </c>
      <c r="AQ355" s="101">
        <f t="shared" si="203"/>
        <v>2871811</v>
      </c>
      <c r="AR355" s="101">
        <v>0</v>
      </c>
      <c r="AS355" s="101">
        <v>0</v>
      </c>
      <c r="AT355" s="102" t="s">
        <v>33</v>
      </c>
      <c r="AU355" s="157" t="s">
        <v>118</v>
      </c>
      <c r="AV355" s="100">
        <v>0</v>
      </c>
      <c r="AW355" s="105"/>
      <c r="AX355" s="106">
        <f t="shared" si="191"/>
        <v>1.8105781057810557</v>
      </c>
      <c r="AY355" s="101">
        <f t="shared" si="192"/>
        <v>49496</v>
      </c>
      <c r="AZ355" s="107"/>
      <c r="BA355" s="94">
        <v>45468.5</v>
      </c>
      <c r="BB355" s="94">
        <v>45468.506944444445</v>
      </c>
      <c r="BC355" s="94">
        <v>45468.510416666664</v>
      </c>
      <c r="BD355" s="94">
        <v>45468.72152777778</v>
      </c>
      <c r="BE355" s="95">
        <f t="shared" si="193"/>
        <v>0.22152777777955635</v>
      </c>
      <c r="BF355" s="95">
        <v>3.3333333333333333E-2</v>
      </c>
      <c r="BG355" s="95">
        <v>0.10694444444444444</v>
      </c>
      <c r="BH355" s="95">
        <f t="shared" si="194"/>
        <v>6.9444444452528842E-3</v>
      </c>
      <c r="BI355" s="95">
        <f t="shared" si="194"/>
        <v>3.4722222189884633E-3</v>
      </c>
      <c r="BJ355" s="95">
        <f t="shared" si="194"/>
        <v>0.211111111115315</v>
      </c>
      <c r="BK355" s="95">
        <f t="shared" si="195"/>
        <v>0.21458333333430346</v>
      </c>
      <c r="BL355" s="95">
        <f t="shared" si="196"/>
        <v>7.4305555556525696E-2</v>
      </c>
      <c r="BM355" s="95">
        <f t="shared" si="197"/>
        <v>1.3194444446223003E-2</v>
      </c>
      <c r="BN355" s="110"/>
    </row>
    <row r="356" spans="1:66" s="8" customFormat="1" ht="12.75" customHeight="1" x14ac:dyDescent="0.25">
      <c r="A356" s="115">
        <v>314</v>
      </c>
      <c r="B356" s="115">
        <v>79</v>
      </c>
      <c r="C356" s="115">
        <v>1</v>
      </c>
      <c r="D356" s="115" t="s">
        <v>148</v>
      </c>
      <c r="E356" s="91" t="s">
        <v>487</v>
      </c>
      <c r="F356" s="115" t="s">
        <v>16</v>
      </c>
      <c r="G356" s="115" t="s">
        <v>17</v>
      </c>
      <c r="H356" s="115" t="s">
        <v>150</v>
      </c>
      <c r="I356" s="116" t="s">
        <v>513</v>
      </c>
      <c r="J356" s="117">
        <v>45468</v>
      </c>
      <c r="K356" s="116" t="s">
        <v>117</v>
      </c>
      <c r="L356" s="116">
        <v>461000313</v>
      </c>
      <c r="M356" s="117">
        <v>45469</v>
      </c>
      <c r="N356" s="118">
        <v>45468.788194444445</v>
      </c>
      <c r="O356" s="118">
        <v>45468.788194444445</v>
      </c>
      <c r="P356" s="118">
        <v>45468.791666666664</v>
      </c>
      <c r="Q356" s="118">
        <v>45468.96875</v>
      </c>
      <c r="R356" s="118" t="s">
        <v>118</v>
      </c>
      <c r="S356" s="118" t="s">
        <v>118</v>
      </c>
      <c r="T356" s="118">
        <v>45469.020833333336</v>
      </c>
      <c r="U356" s="118">
        <v>45469.145833333336</v>
      </c>
      <c r="V356" s="119">
        <f t="shared" si="189"/>
        <v>0.18055555555474712</v>
      </c>
      <c r="W356" s="119">
        <v>0.20833333333333334</v>
      </c>
      <c r="X356" s="119" t="str">
        <f t="shared" si="190"/>
        <v>00:00</v>
      </c>
      <c r="Y356" s="96">
        <v>5</v>
      </c>
      <c r="Z356" s="96">
        <v>8</v>
      </c>
      <c r="AA356" s="96">
        <f t="shared" si="198"/>
        <v>13</v>
      </c>
      <c r="AB356" s="97">
        <f t="shared" si="199"/>
        <v>341.74615384615385</v>
      </c>
      <c r="AC356" s="97">
        <f t="shared" si="200"/>
        <v>546.79384615384618</v>
      </c>
      <c r="AD356" s="98">
        <f>4030.08-3141.54</f>
        <v>888.54</v>
      </c>
      <c r="AE356" s="98">
        <f>4050.2-3140.8</f>
        <v>909.39999999999964</v>
      </c>
      <c r="AF356" s="98">
        <f>4066-3155.34</f>
        <v>910.65999999999985</v>
      </c>
      <c r="AG356" s="98">
        <f t="shared" si="201"/>
        <v>22.119999999999891</v>
      </c>
      <c r="AH356" s="99">
        <v>672.5</v>
      </c>
      <c r="AI356" s="100">
        <f t="shared" si="202"/>
        <v>612418.84999999986</v>
      </c>
      <c r="AJ356" s="100">
        <f>(0*AH356)*2</f>
        <v>0</v>
      </c>
      <c r="AK356" s="100">
        <v>0</v>
      </c>
      <c r="AL356" s="100">
        <v>24140</v>
      </c>
      <c r="AM356" s="100">
        <v>0</v>
      </c>
      <c r="AN356" s="100">
        <v>0</v>
      </c>
      <c r="AO356" s="100">
        <v>0</v>
      </c>
      <c r="AP356" s="100">
        <f t="shared" si="188"/>
        <v>31828</v>
      </c>
      <c r="AQ356" s="101">
        <f t="shared" si="203"/>
        <v>668387</v>
      </c>
      <c r="AR356" s="101">
        <v>0</v>
      </c>
      <c r="AS356" s="101">
        <v>0</v>
      </c>
      <c r="AT356" s="102" t="s">
        <v>33</v>
      </c>
      <c r="AU356" s="158">
        <v>6</v>
      </c>
      <c r="AV356" s="121">
        <f>21.54-14.54</f>
        <v>7</v>
      </c>
      <c r="AW356" s="139"/>
      <c r="AX356" s="140">
        <f>IFERROR(((AG356+AG357)/(AF356+AF357))*100, "")</f>
        <v>0.88342351205115777</v>
      </c>
      <c r="AY356" s="141">
        <f>ROUNDUP((AG356+AG357)*AH356,0)</f>
        <v>24157</v>
      </c>
      <c r="AZ356" s="142"/>
      <c r="BA356" s="118">
        <v>45468.770833333336</v>
      </c>
      <c r="BB356" s="118">
        <v>45468.774305555555</v>
      </c>
      <c r="BC356" s="118">
        <v>45468.774305555555</v>
      </c>
      <c r="BD356" s="118">
        <v>45468.923611111109</v>
      </c>
      <c r="BE356" s="119">
        <f t="shared" si="193"/>
        <v>0.15277777777373558</v>
      </c>
      <c r="BF356" s="172">
        <v>9.7222222222222224E-3</v>
      </c>
      <c r="BG356" s="172">
        <v>6.5277777777777782E-2</v>
      </c>
      <c r="BH356" s="119">
        <f t="shared" si="194"/>
        <v>3.4722222189884633E-3</v>
      </c>
      <c r="BI356" s="119">
        <f t="shared" si="194"/>
        <v>0</v>
      </c>
      <c r="BJ356" s="119">
        <f t="shared" si="194"/>
        <v>0.14930555555474712</v>
      </c>
      <c r="BK356" s="119">
        <f t="shared" si="195"/>
        <v>0.14930555555474712</v>
      </c>
      <c r="BL356" s="119">
        <f t="shared" si="196"/>
        <v>7.4305555554747119E-2</v>
      </c>
      <c r="BM356" s="118" t="str">
        <f t="shared" si="197"/>
        <v>00:00</v>
      </c>
      <c r="BN356" s="110" t="s">
        <v>514</v>
      </c>
    </row>
    <row r="357" spans="1:66" s="8" customFormat="1" ht="12.75" customHeight="1" x14ac:dyDescent="0.25">
      <c r="A357" s="122"/>
      <c r="B357" s="122"/>
      <c r="C357" s="122"/>
      <c r="D357" s="122"/>
      <c r="E357" s="91" t="s">
        <v>515</v>
      </c>
      <c r="F357" s="122"/>
      <c r="G357" s="122"/>
      <c r="H357" s="122"/>
      <c r="I357" s="123"/>
      <c r="J357" s="124"/>
      <c r="K357" s="123"/>
      <c r="L357" s="123"/>
      <c r="M357" s="124"/>
      <c r="N357" s="125"/>
      <c r="O357" s="125"/>
      <c r="P357" s="125"/>
      <c r="Q357" s="125"/>
      <c r="R357" s="125"/>
      <c r="S357" s="125"/>
      <c r="T357" s="125"/>
      <c r="U357" s="125"/>
      <c r="V357" s="126"/>
      <c r="W357" s="126"/>
      <c r="X357" s="126"/>
      <c r="Y357" s="96">
        <v>20</v>
      </c>
      <c r="Z357" s="96">
        <v>25</v>
      </c>
      <c r="AA357" s="96">
        <f t="shared" si="198"/>
        <v>45</v>
      </c>
      <c r="AB357" s="97">
        <f t="shared" si="199"/>
        <v>1396.24</v>
      </c>
      <c r="AC357" s="97">
        <f t="shared" si="200"/>
        <v>1745.3</v>
      </c>
      <c r="AD357" s="98">
        <v>3141.54</v>
      </c>
      <c r="AE357" s="98">
        <v>3140.8</v>
      </c>
      <c r="AF357" s="98">
        <v>3155.34</v>
      </c>
      <c r="AG357" s="98">
        <f t="shared" si="201"/>
        <v>13.800000000000182</v>
      </c>
      <c r="AH357" s="99">
        <v>672.5</v>
      </c>
      <c r="AI357" s="100">
        <f t="shared" si="202"/>
        <v>2121966.15</v>
      </c>
      <c r="AJ357" s="100">
        <f>(0*AH357)*2</f>
        <v>0</v>
      </c>
      <c r="AK357" s="100">
        <v>0</v>
      </c>
      <c r="AL357" s="100">
        <v>0</v>
      </c>
      <c r="AM357" s="100">
        <v>0</v>
      </c>
      <c r="AN357" s="100">
        <v>0</v>
      </c>
      <c r="AO357" s="100">
        <v>0</v>
      </c>
      <c r="AP357" s="100">
        <f t="shared" si="188"/>
        <v>106099</v>
      </c>
      <c r="AQ357" s="101">
        <f>ROUNDUP(SUM(AI357:AP357),0)-1</f>
        <v>2228065</v>
      </c>
      <c r="AR357" s="101">
        <v>0</v>
      </c>
      <c r="AS357" s="101">
        <v>0</v>
      </c>
      <c r="AT357" s="102" t="s">
        <v>33</v>
      </c>
      <c r="AU357" s="159"/>
      <c r="AV357" s="128"/>
      <c r="AW357" s="143"/>
      <c r="AX357" s="144"/>
      <c r="AY357" s="145"/>
      <c r="AZ357" s="146"/>
      <c r="BA357" s="125"/>
      <c r="BB357" s="125"/>
      <c r="BC357" s="125"/>
      <c r="BD357" s="125"/>
      <c r="BE357" s="126"/>
      <c r="BF357" s="173"/>
      <c r="BG357" s="173"/>
      <c r="BH357" s="126"/>
      <c r="BI357" s="126"/>
      <c r="BJ357" s="126"/>
      <c r="BK357" s="126"/>
      <c r="BL357" s="126"/>
      <c r="BM357" s="125"/>
      <c r="BN357" s="110" t="s">
        <v>516</v>
      </c>
    </row>
    <row r="358" spans="1:66" s="8" customFormat="1" ht="12.75" customHeight="1" x14ac:dyDescent="0.25">
      <c r="A358" s="150">
        <v>315</v>
      </c>
      <c r="B358" s="150">
        <v>80</v>
      </c>
      <c r="C358" s="90">
        <v>2</v>
      </c>
      <c r="D358" s="90" t="s">
        <v>148</v>
      </c>
      <c r="E358" s="91" t="s">
        <v>515</v>
      </c>
      <c r="F358" s="90" t="s">
        <v>16</v>
      </c>
      <c r="G358" s="90" t="s">
        <v>17</v>
      </c>
      <c r="H358" s="90" t="s">
        <v>150</v>
      </c>
      <c r="I358" s="135" t="s">
        <v>517</v>
      </c>
      <c r="J358" s="151">
        <v>45468</v>
      </c>
      <c r="K358" s="135" t="s">
        <v>117</v>
      </c>
      <c r="L358" s="135">
        <v>461000314</v>
      </c>
      <c r="M358" s="151">
        <v>45469</v>
      </c>
      <c r="N358" s="152">
        <v>45469.197916666664</v>
      </c>
      <c r="O358" s="152">
        <v>45469.177083333336</v>
      </c>
      <c r="P358" s="152">
        <v>45469.201388888891</v>
      </c>
      <c r="Q358" s="152">
        <v>45469.354166666664</v>
      </c>
      <c r="R358" s="114">
        <v>45469.197916666664</v>
      </c>
      <c r="S358" s="114" t="s">
        <v>118</v>
      </c>
      <c r="T358" s="114">
        <v>45469.361111111109</v>
      </c>
      <c r="U358" s="114">
        <v>45469.424305555556</v>
      </c>
      <c r="V358" s="165">
        <f t="shared" ref="V358:V366" si="204">+Q358-O358</f>
        <v>0.17708333332848269</v>
      </c>
      <c r="W358" s="165">
        <v>0.20833333333333334</v>
      </c>
      <c r="X358" s="165" t="str">
        <f t="shared" ref="X358:X366" si="205">IF(VALUE(V358)&lt;=VALUE("05:00"),"00:00",VALUE(V358)-VALUE("05:00"))</f>
        <v>00:00</v>
      </c>
      <c r="Y358" s="96">
        <v>27</v>
      </c>
      <c r="Z358" s="96">
        <v>32</v>
      </c>
      <c r="AA358" s="96">
        <f t="shared" si="198"/>
        <v>59</v>
      </c>
      <c r="AB358" s="97">
        <f t="shared" si="199"/>
        <v>1849.6922033898306</v>
      </c>
      <c r="AC358" s="97">
        <f t="shared" si="200"/>
        <v>2192.2277966101697</v>
      </c>
      <c r="AD358" s="98">
        <v>4041.92</v>
      </c>
      <c r="AE358" s="98">
        <v>4103.8999999999996</v>
      </c>
      <c r="AF358" s="98">
        <v>4109.8</v>
      </c>
      <c r="AG358" s="98">
        <f t="shared" si="201"/>
        <v>67.880000000000109</v>
      </c>
      <c r="AH358" s="99">
        <v>672.5</v>
      </c>
      <c r="AI358" s="100">
        <f t="shared" si="202"/>
        <v>2763840.5</v>
      </c>
      <c r="AJ358" s="100">
        <f>(1*AH358)*2</f>
        <v>1345</v>
      </c>
      <c r="AK358" s="100">
        <v>0</v>
      </c>
      <c r="AL358" s="100">
        <v>0</v>
      </c>
      <c r="AM358" s="100">
        <v>0</v>
      </c>
      <c r="AN358" s="100">
        <v>0</v>
      </c>
      <c r="AO358" s="100">
        <v>0</v>
      </c>
      <c r="AP358" s="100">
        <f t="shared" si="188"/>
        <v>138260</v>
      </c>
      <c r="AQ358" s="101">
        <f>ROUNDUP(SUM(AI358:AP358),0)-1</f>
        <v>2903445</v>
      </c>
      <c r="AR358" s="101">
        <v>0</v>
      </c>
      <c r="AS358" s="101">
        <v>0</v>
      </c>
      <c r="AT358" s="102" t="s">
        <v>33</v>
      </c>
      <c r="AU358" s="157" t="s">
        <v>118</v>
      </c>
      <c r="AV358" s="100">
        <v>0</v>
      </c>
      <c r="AW358" s="105"/>
      <c r="AX358" s="106">
        <f t="shared" ref="AX358:AX365" si="206">IFERROR((AG358/AF358)*100, "")</f>
        <v>1.6516618813567596</v>
      </c>
      <c r="AY358" s="101">
        <f t="shared" ref="AY358:AY365" si="207">ROUNDUP(AG358*AH358,0)</f>
        <v>45650</v>
      </c>
      <c r="AZ358" s="107"/>
      <c r="BA358" s="94">
        <v>45469.197916666664</v>
      </c>
      <c r="BB358" s="94">
        <v>45469.201388888891</v>
      </c>
      <c r="BC358" s="94">
        <v>45469.204861111109</v>
      </c>
      <c r="BD358" s="94">
        <v>45469.286111111112</v>
      </c>
      <c r="BE358" s="95">
        <f t="shared" ref="BE358:BE366" si="208">+BD358-BA358</f>
        <v>8.8194444448163267E-2</v>
      </c>
      <c r="BF358" s="95">
        <v>0</v>
      </c>
      <c r="BG358" s="95">
        <v>3.472222222222222E-3</v>
      </c>
      <c r="BH358" s="95">
        <f t="shared" ref="BH358:BJ366" si="209">+BB358-BA358</f>
        <v>3.4722222262644209E-3</v>
      </c>
      <c r="BI358" s="95">
        <f t="shared" si="209"/>
        <v>3.4722222189884633E-3</v>
      </c>
      <c r="BJ358" s="95">
        <f t="shared" si="209"/>
        <v>8.1250000002910383E-2</v>
      </c>
      <c r="BK358" s="95">
        <f t="shared" ref="BK358:BK366" si="210">+BI358+BJ358</f>
        <v>8.4722222221898846E-2</v>
      </c>
      <c r="BL358" s="95">
        <f t="shared" ref="BL358:BL366" si="211">+BE358-BH358-BF358-BG358</f>
        <v>8.1249999999676623E-2</v>
      </c>
      <c r="BM358" s="94" t="str">
        <f t="shared" ref="BM358:BM366" si="212">IF(VALUE(BE358)&lt;=VALUE("05:00"),"00:00",VALUE(BE358)-VALUE("05:00"))</f>
        <v>00:00</v>
      </c>
      <c r="BN358" s="110"/>
    </row>
    <row r="359" spans="1:66" s="8" customFormat="1" ht="12.75" customHeight="1" x14ac:dyDescent="0.25">
      <c r="A359" s="150">
        <v>316</v>
      </c>
      <c r="B359" s="150">
        <v>81</v>
      </c>
      <c r="C359" s="90">
        <v>26</v>
      </c>
      <c r="D359" s="90" t="s">
        <v>113</v>
      </c>
      <c r="E359" s="91" t="s">
        <v>319</v>
      </c>
      <c r="F359" s="90" t="s">
        <v>32</v>
      </c>
      <c r="G359" s="90" t="s">
        <v>8</v>
      </c>
      <c r="H359" s="90" t="s">
        <v>146</v>
      </c>
      <c r="I359" s="135" t="s">
        <v>518</v>
      </c>
      <c r="J359" s="151">
        <v>45469</v>
      </c>
      <c r="K359" s="135" t="s">
        <v>122</v>
      </c>
      <c r="L359" s="135">
        <v>261005793</v>
      </c>
      <c r="M359" s="151">
        <v>45469</v>
      </c>
      <c r="N359" s="152">
        <v>45469.583333333336</v>
      </c>
      <c r="O359" s="152">
        <v>45469.583333333336</v>
      </c>
      <c r="P359" s="152">
        <v>45469.59375</v>
      </c>
      <c r="Q359" s="152">
        <v>45469.760416666664</v>
      </c>
      <c r="R359" s="114" t="s">
        <v>118</v>
      </c>
      <c r="S359" s="114" t="s">
        <v>118</v>
      </c>
      <c r="T359" s="114">
        <v>45469.763888888891</v>
      </c>
      <c r="U359" s="114">
        <v>45469.868055555555</v>
      </c>
      <c r="V359" s="165">
        <f t="shared" si="204"/>
        <v>0.17708333332848269</v>
      </c>
      <c r="W359" s="165">
        <v>0.20833333333333334</v>
      </c>
      <c r="X359" s="165" t="str">
        <f t="shared" si="205"/>
        <v>00:00</v>
      </c>
      <c r="Y359" s="96">
        <v>27</v>
      </c>
      <c r="Z359" s="96">
        <v>32</v>
      </c>
      <c r="AA359" s="96">
        <f t="shared" si="198"/>
        <v>59</v>
      </c>
      <c r="AB359" s="97">
        <f t="shared" si="199"/>
        <v>1822.1842372881356</v>
      </c>
      <c r="AC359" s="97">
        <f t="shared" si="200"/>
        <v>2159.6257627118644</v>
      </c>
      <c r="AD359" s="98">
        <v>3981.81</v>
      </c>
      <c r="AE359" s="98">
        <v>4099.2</v>
      </c>
      <c r="AF359" s="98">
        <v>4102.3999999999996</v>
      </c>
      <c r="AG359" s="98">
        <f t="shared" si="201"/>
        <v>120.58999999999969</v>
      </c>
      <c r="AH359" s="99">
        <v>1398.7</v>
      </c>
      <c r="AI359" s="100">
        <f t="shared" si="202"/>
        <v>5738026.8799999999</v>
      </c>
      <c r="AJ359" s="100">
        <f t="shared" ref="AJ359:AJ367" si="213">(0*AH359)*2</f>
        <v>0</v>
      </c>
      <c r="AK359" s="100">
        <v>0</v>
      </c>
      <c r="AL359" s="100">
        <v>24290</v>
      </c>
      <c r="AM359" s="100">
        <v>0</v>
      </c>
      <c r="AN359" s="100">
        <v>0</v>
      </c>
      <c r="AO359" s="100">
        <v>0</v>
      </c>
      <c r="AP359" s="100">
        <f t="shared" si="188"/>
        <v>288116</v>
      </c>
      <c r="AQ359" s="101">
        <f t="shared" ref="AQ359:AQ365" si="214">ROUNDUP(SUM(AI359:AP359),0)</f>
        <v>6050433</v>
      </c>
      <c r="AR359" s="101">
        <v>0</v>
      </c>
      <c r="AS359" s="101">
        <v>0</v>
      </c>
      <c r="AT359" s="102" t="s">
        <v>33</v>
      </c>
      <c r="AU359" s="157">
        <v>2</v>
      </c>
      <c r="AV359" s="100">
        <v>0</v>
      </c>
      <c r="AW359" s="105"/>
      <c r="AX359" s="106">
        <f t="shared" si="206"/>
        <v>2.939498829953191</v>
      </c>
      <c r="AY359" s="101">
        <f t="shared" si="207"/>
        <v>168670</v>
      </c>
      <c r="AZ359" s="107"/>
      <c r="BA359" s="94">
        <v>45469.583333333336</v>
      </c>
      <c r="BB359" s="94">
        <v>45469.59375</v>
      </c>
      <c r="BC359" s="94">
        <v>45469.597222222219</v>
      </c>
      <c r="BD359" s="94">
        <v>45469.676388888889</v>
      </c>
      <c r="BE359" s="95">
        <f t="shared" si="208"/>
        <v>9.3055555553291924E-2</v>
      </c>
      <c r="BF359" s="95">
        <v>7.6388888888888886E-3</v>
      </c>
      <c r="BG359" s="95">
        <v>3.472222222222222E-3</v>
      </c>
      <c r="BH359" s="95">
        <f t="shared" si="209"/>
        <v>1.0416666664241347E-2</v>
      </c>
      <c r="BI359" s="95">
        <f t="shared" si="209"/>
        <v>3.4722222189884633E-3</v>
      </c>
      <c r="BJ359" s="95">
        <f t="shared" si="209"/>
        <v>7.9166666670062114E-2</v>
      </c>
      <c r="BK359" s="95">
        <f t="shared" si="210"/>
        <v>8.2638888889050577E-2</v>
      </c>
      <c r="BL359" s="95">
        <f t="shared" si="211"/>
        <v>7.1527777777939464E-2</v>
      </c>
      <c r="BM359" s="95" t="str">
        <f t="shared" si="212"/>
        <v>00:00</v>
      </c>
      <c r="BN359" s="110"/>
    </row>
    <row r="360" spans="1:66" s="8" customFormat="1" ht="12.75" customHeight="1" x14ac:dyDescent="0.25">
      <c r="A360" s="150">
        <v>317</v>
      </c>
      <c r="B360" s="150">
        <v>82</v>
      </c>
      <c r="C360" s="90">
        <v>3</v>
      </c>
      <c r="D360" s="90" t="s">
        <v>148</v>
      </c>
      <c r="E360" s="91" t="s">
        <v>515</v>
      </c>
      <c r="F360" s="90" t="s">
        <v>16</v>
      </c>
      <c r="G360" s="90" t="s">
        <v>17</v>
      </c>
      <c r="H360" s="90" t="s">
        <v>150</v>
      </c>
      <c r="I360" s="135" t="s">
        <v>519</v>
      </c>
      <c r="J360" s="151">
        <v>45469</v>
      </c>
      <c r="K360" s="135" t="s">
        <v>117</v>
      </c>
      <c r="L360" s="135">
        <v>461000315</v>
      </c>
      <c r="M360" s="151">
        <v>45470</v>
      </c>
      <c r="N360" s="152">
        <v>45469.760416666664</v>
      </c>
      <c r="O360" s="152">
        <v>45469.760416666664</v>
      </c>
      <c r="P360" s="152">
        <v>45469.763888888891</v>
      </c>
      <c r="Q360" s="152">
        <v>45469.958333333336</v>
      </c>
      <c r="R360" s="114" t="s">
        <v>118</v>
      </c>
      <c r="S360" s="114" t="s">
        <v>118</v>
      </c>
      <c r="T360" s="114">
        <v>45470.013888888891</v>
      </c>
      <c r="U360" s="114">
        <v>45470.15625</v>
      </c>
      <c r="V360" s="165">
        <f t="shared" si="204"/>
        <v>0.19791666667151731</v>
      </c>
      <c r="W360" s="165">
        <v>0.20833333333333334</v>
      </c>
      <c r="X360" s="165" t="str">
        <f t="shared" si="205"/>
        <v>00:00</v>
      </c>
      <c r="Y360" s="96">
        <v>27</v>
      </c>
      <c r="Z360" s="96">
        <v>32</v>
      </c>
      <c r="AA360" s="96">
        <f t="shared" si="198"/>
        <v>59</v>
      </c>
      <c r="AB360" s="97">
        <f t="shared" si="199"/>
        <v>1853.1930508474575</v>
      </c>
      <c r="AC360" s="97">
        <f t="shared" si="200"/>
        <v>2196.3769491525422</v>
      </c>
      <c r="AD360" s="98">
        <v>4049.57</v>
      </c>
      <c r="AE360" s="98">
        <v>4104.3999999999996</v>
      </c>
      <c r="AF360" s="98">
        <v>4112.2</v>
      </c>
      <c r="AG360" s="98">
        <f t="shared" si="201"/>
        <v>62.629999999999654</v>
      </c>
      <c r="AH360" s="99">
        <v>672.5</v>
      </c>
      <c r="AI360" s="100">
        <f t="shared" si="202"/>
        <v>2765454.5</v>
      </c>
      <c r="AJ360" s="100">
        <f t="shared" si="213"/>
        <v>0</v>
      </c>
      <c r="AK360" s="100">
        <v>0</v>
      </c>
      <c r="AL360" s="100">
        <v>24290</v>
      </c>
      <c r="AM360" s="100">
        <v>0</v>
      </c>
      <c r="AN360" s="100">
        <v>0</v>
      </c>
      <c r="AO360" s="100">
        <v>0</v>
      </c>
      <c r="AP360" s="100">
        <f t="shared" si="188"/>
        <v>139488</v>
      </c>
      <c r="AQ360" s="101">
        <f t="shared" si="214"/>
        <v>2929233</v>
      </c>
      <c r="AR360" s="101">
        <v>0</v>
      </c>
      <c r="AS360" s="101">
        <v>0</v>
      </c>
      <c r="AT360" s="102" t="s">
        <v>33</v>
      </c>
      <c r="AU360" s="157">
        <v>5</v>
      </c>
      <c r="AV360" s="100">
        <f>11.07-7.07</f>
        <v>4</v>
      </c>
      <c r="AW360" s="105"/>
      <c r="AX360" s="106">
        <f t="shared" si="206"/>
        <v>1.5230290355527372</v>
      </c>
      <c r="AY360" s="101">
        <f t="shared" si="207"/>
        <v>42119</v>
      </c>
      <c r="AZ360" s="107"/>
      <c r="BA360" s="94">
        <v>45469.760416666664</v>
      </c>
      <c r="BB360" s="94">
        <v>45469.763888888891</v>
      </c>
      <c r="BC360" s="94">
        <v>45469.779166666667</v>
      </c>
      <c r="BD360" s="94">
        <v>45469.856944444444</v>
      </c>
      <c r="BE360" s="95">
        <f t="shared" si="208"/>
        <v>9.6527777779556345E-2</v>
      </c>
      <c r="BF360" s="95">
        <v>1.5277777777777777E-2</v>
      </c>
      <c r="BG360" s="95">
        <v>0</v>
      </c>
      <c r="BH360" s="95">
        <f t="shared" si="209"/>
        <v>3.4722222262644209E-3</v>
      </c>
      <c r="BI360" s="95">
        <f t="shared" si="209"/>
        <v>1.5277777776645962E-2</v>
      </c>
      <c r="BJ360" s="95">
        <f t="shared" si="209"/>
        <v>7.7777777776645962E-2</v>
      </c>
      <c r="BK360" s="95">
        <f t="shared" si="210"/>
        <v>9.3055555553291924E-2</v>
      </c>
      <c r="BL360" s="95">
        <f t="shared" si="211"/>
        <v>7.7777777775514145E-2</v>
      </c>
      <c r="BM360" s="95" t="str">
        <f t="shared" si="212"/>
        <v>00:00</v>
      </c>
      <c r="BN360" s="110"/>
    </row>
    <row r="361" spans="1:66" s="8" customFormat="1" ht="12.75" customHeight="1" x14ac:dyDescent="0.25">
      <c r="A361" s="150">
        <v>318</v>
      </c>
      <c r="B361" s="150">
        <v>83</v>
      </c>
      <c r="C361" s="90">
        <v>4</v>
      </c>
      <c r="D361" s="90" t="s">
        <v>148</v>
      </c>
      <c r="E361" s="91" t="s">
        <v>515</v>
      </c>
      <c r="F361" s="90" t="s">
        <v>16</v>
      </c>
      <c r="G361" s="90" t="s">
        <v>17</v>
      </c>
      <c r="H361" s="90" t="s">
        <v>150</v>
      </c>
      <c r="I361" s="135" t="s">
        <v>520</v>
      </c>
      <c r="J361" s="151">
        <v>45469</v>
      </c>
      <c r="K361" s="135" t="s">
        <v>122</v>
      </c>
      <c r="L361" s="135">
        <v>461000316</v>
      </c>
      <c r="M361" s="151">
        <v>45470</v>
      </c>
      <c r="N361" s="152">
        <v>45470.28125</v>
      </c>
      <c r="O361" s="152">
        <v>45470.28125</v>
      </c>
      <c r="P361" s="152">
        <v>45470.288194444445</v>
      </c>
      <c r="Q361" s="152">
        <v>45470.479166666664</v>
      </c>
      <c r="R361" s="114" t="s">
        <v>118</v>
      </c>
      <c r="S361" s="114" t="s">
        <v>118</v>
      </c>
      <c r="T361" s="114">
        <v>45470.486111111109</v>
      </c>
      <c r="U361" s="114">
        <v>45470.663194444445</v>
      </c>
      <c r="V361" s="165">
        <f t="shared" si="204"/>
        <v>0.19791666666424135</v>
      </c>
      <c r="W361" s="165">
        <v>0.20833333333333334</v>
      </c>
      <c r="X361" s="165" t="str">
        <f t="shared" si="205"/>
        <v>00:00</v>
      </c>
      <c r="Y361" s="96">
        <v>27</v>
      </c>
      <c r="Z361" s="96">
        <v>31</v>
      </c>
      <c r="AA361" s="96">
        <f t="shared" si="198"/>
        <v>58</v>
      </c>
      <c r="AB361" s="97">
        <f t="shared" si="199"/>
        <v>1858.1772413793103</v>
      </c>
      <c r="AC361" s="97">
        <f t="shared" si="200"/>
        <v>2133.4627586206893</v>
      </c>
      <c r="AD361" s="98">
        <v>3991.64</v>
      </c>
      <c r="AE361" s="98">
        <v>4032.4</v>
      </c>
      <c r="AF361" s="98">
        <v>4041.6</v>
      </c>
      <c r="AG361" s="98">
        <f t="shared" si="201"/>
        <v>49.960000000000036</v>
      </c>
      <c r="AH361" s="99">
        <v>672.5</v>
      </c>
      <c r="AI361" s="100">
        <f t="shared" si="202"/>
        <v>2717976</v>
      </c>
      <c r="AJ361" s="100">
        <f t="shared" si="213"/>
        <v>0</v>
      </c>
      <c r="AK361" s="100">
        <v>0</v>
      </c>
      <c r="AL361" s="100">
        <v>24290</v>
      </c>
      <c r="AM361" s="100">
        <v>0</v>
      </c>
      <c r="AN361" s="100">
        <v>0</v>
      </c>
      <c r="AO361" s="100">
        <v>0</v>
      </c>
      <c r="AP361" s="100">
        <f t="shared" si="188"/>
        <v>137114</v>
      </c>
      <c r="AQ361" s="101">
        <f t="shared" si="214"/>
        <v>2879380</v>
      </c>
      <c r="AR361" s="101">
        <v>0</v>
      </c>
      <c r="AS361" s="101">
        <v>0</v>
      </c>
      <c r="AT361" s="102" t="s">
        <v>33</v>
      </c>
      <c r="AU361" s="157">
        <v>4</v>
      </c>
      <c r="AV361" s="100">
        <v>0</v>
      </c>
      <c r="AW361" s="105"/>
      <c r="AX361" s="106">
        <f t="shared" si="206"/>
        <v>1.2361441013460026</v>
      </c>
      <c r="AY361" s="101">
        <f t="shared" si="207"/>
        <v>33599</v>
      </c>
      <c r="AZ361" s="107"/>
      <c r="BA361" s="94">
        <v>45470.28125</v>
      </c>
      <c r="BB361" s="94">
        <v>45470.288194444445</v>
      </c>
      <c r="BC361" s="94">
        <v>45470.288194444445</v>
      </c>
      <c r="BD361" s="94">
        <v>45470.374305555553</v>
      </c>
      <c r="BE361" s="95">
        <f t="shared" si="208"/>
        <v>9.3055555553291924E-2</v>
      </c>
      <c r="BF361" s="95">
        <v>0</v>
      </c>
      <c r="BG361" s="95">
        <v>1.8749999999999999E-2</v>
      </c>
      <c r="BH361" s="95">
        <f t="shared" si="209"/>
        <v>6.9444444452528842E-3</v>
      </c>
      <c r="BI361" s="95">
        <f t="shared" si="209"/>
        <v>0</v>
      </c>
      <c r="BJ361" s="95">
        <f t="shared" si="209"/>
        <v>8.611111110803904E-2</v>
      </c>
      <c r="BK361" s="95">
        <f t="shared" si="210"/>
        <v>8.611111110803904E-2</v>
      </c>
      <c r="BL361" s="95">
        <f t="shared" si="211"/>
        <v>6.7361111108039037E-2</v>
      </c>
      <c r="BM361" s="95" t="str">
        <f t="shared" si="212"/>
        <v>00:00</v>
      </c>
      <c r="BN361" s="110"/>
    </row>
    <row r="362" spans="1:66" s="8" customFormat="1" ht="12.75" customHeight="1" x14ac:dyDescent="0.25">
      <c r="A362" s="150">
        <v>319</v>
      </c>
      <c r="B362" s="150">
        <v>84</v>
      </c>
      <c r="C362" s="90">
        <v>5</v>
      </c>
      <c r="D362" s="90" t="s">
        <v>148</v>
      </c>
      <c r="E362" s="91" t="s">
        <v>515</v>
      </c>
      <c r="F362" s="90" t="s">
        <v>16</v>
      </c>
      <c r="G362" s="90" t="s">
        <v>17</v>
      </c>
      <c r="H362" s="90" t="s">
        <v>150</v>
      </c>
      <c r="I362" s="135" t="s">
        <v>521</v>
      </c>
      <c r="J362" s="151">
        <v>45470</v>
      </c>
      <c r="K362" s="135" t="s">
        <v>117</v>
      </c>
      <c r="L362" s="135">
        <v>461000317</v>
      </c>
      <c r="M362" s="151">
        <v>45470</v>
      </c>
      <c r="N362" s="152">
        <v>45470.583333333336</v>
      </c>
      <c r="O362" s="152">
        <v>45470.583333333336</v>
      </c>
      <c r="P362" s="152">
        <v>45470.59375</v>
      </c>
      <c r="Q362" s="152">
        <v>45470.760416666664</v>
      </c>
      <c r="R362" s="114" t="s">
        <v>118</v>
      </c>
      <c r="S362" s="114" t="s">
        <v>118</v>
      </c>
      <c r="T362" s="114">
        <v>45470.791666666664</v>
      </c>
      <c r="U362" s="114">
        <v>45470.854166666664</v>
      </c>
      <c r="V362" s="165">
        <f t="shared" si="204"/>
        <v>0.17708333332848269</v>
      </c>
      <c r="W362" s="165">
        <v>0.20833333333333334</v>
      </c>
      <c r="X362" s="165" t="str">
        <f t="shared" si="205"/>
        <v>00:00</v>
      </c>
      <c r="Y362" s="96">
        <v>26</v>
      </c>
      <c r="Z362" s="96">
        <v>32</v>
      </c>
      <c r="AA362" s="96">
        <f t="shared" si="198"/>
        <v>58</v>
      </c>
      <c r="AB362" s="97">
        <f t="shared" si="199"/>
        <v>1776.5755172413794</v>
      </c>
      <c r="AC362" s="97">
        <f t="shared" si="200"/>
        <v>2186.5544827586209</v>
      </c>
      <c r="AD362" s="98">
        <v>3963.13</v>
      </c>
      <c r="AE362" s="98">
        <v>4037.5</v>
      </c>
      <c r="AF362" s="98">
        <v>4045.2</v>
      </c>
      <c r="AG362" s="98">
        <f t="shared" si="201"/>
        <v>82.069999999999709</v>
      </c>
      <c r="AH362" s="99">
        <v>672.5</v>
      </c>
      <c r="AI362" s="100">
        <f t="shared" si="202"/>
        <v>2720397</v>
      </c>
      <c r="AJ362" s="100">
        <f t="shared" si="213"/>
        <v>0</v>
      </c>
      <c r="AK362" s="100">
        <v>0</v>
      </c>
      <c r="AL362" s="100">
        <v>24140</v>
      </c>
      <c r="AM362" s="100">
        <v>0</v>
      </c>
      <c r="AN362" s="100">
        <v>0</v>
      </c>
      <c r="AO362" s="100">
        <v>0</v>
      </c>
      <c r="AP362" s="100">
        <f t="shared" si="188"/>
        <v>137227</v>
      </c>
      <c r="AQ362" s="101">
        <f t="shared" si="214"/>
        <v>2881764</v>
      </c>
      <c r="AR362" s="101">
        <v>0</v>
      </c>
      <c r="AS362" s="101">
        <v>0</v>
      </c>
      <c r="AT362" s="102" t="s">
        <v>33</v>
      </c>
      <c r="AU362" s="157">
        <v>2</v>
      </c>
      <c r="AV362" s="100">
        <f>8.8-7.3</f>
        <v>1.5000000000000009</v>
      </c>
      <c r="AW362" s="105"/>
      <c r="AX362" s="106">
        <f t="shared" si="206"/>
        <v>2.0288242855730174</v>
      </c>
      <c r="AY362" s="101">
        <f t="shared" si="207"/>
        <v>55193</v>
      </c>
      <c r="AZ362" s="107"/>
      <c r="BA362" s="94">
        <v>45470.583333333336</v>
      </c>
      <c r="BB362" s="94">
        <v>45470.59375</v>
      </c>
      <c r="BC362" s="94">
        <v>45470.604166666664</v>
      </c>
      <c r="BD362" s="94">
        <v>45470.680555555555</v>
      </c>
      <c r="BE362" s="95">
        <f t="shared" si="208"/>
        <v>9.7222222218988463E-2</v>
      </c>
      <c r="BF362" s="95">
        <v>0</v>
      </c>
      <c r="BG362" s="95">
        <v>1.0416666666666666E-2</v>
      </c>
      <c r="BH362" s="95">
        <f t="shared" si="209"/>
        <v>1.0416666664241347E-2</v>
      </c>
      <c r="BI362" s="95">
        <f t="shared" si="209"/>
        <v>1.0416666664241347E-2</v>
      </c>
      <c r="BJ362" s="95">
        <f t="shared" si="209"/>
        <v>7.6388888890505768E-2</v>
      </c>
      <c r="BK362" s="95">
        <f t="shared" si="210"/>
        <v>8.6805555554747116E-2</v>
      </c>
      <c r="BL362" s="95">
        <f t="shared" si="211"/>
        <v>7.6388888888080445E-2</v>
      </c>
      <c r="BM362" s="95" t="str">
        <f t="shared" si="212"/>
        <v>00:00</v>
      </c>
      <c r="BN362" s="110"/>
    </row>
    <row r="363" spans="1:66" s="8" customFormat="1" ht="12.75" customHeight="1" x14ac:dyDescent="0.25">
      <c r="A363" s="150">
        <v>320</v>
      </c>
      <c r="B363" s="150">
        <v>85</v>
      </c>
      <c r="C363" s="90">
        <v>27</v>
      </c>
      <c r="D363" s="90" t="s">
        <v>113</v>
      </c>
      <c r="E363" s="91" t="s">
        <v>319</v>
      </c>
      <c r="F363" s="90" t="s">
        <v>32</v>
      </c>
      <c r="G363" s="90" t="s">
        <v>8</v>
      </c>
      <c r="H363" s="90" t="s">
        <v>146</v>
      </c>
      <c r="I363" s="135" t="s">
        <v>522</v>
      </c>
      <c r="J363" s="151">
        <v>45470</v>
      </c>
      <c r="K363" s="135" t="s">
        <v>122</v>
      </c>
      <c r="L363" s="135">
        <v>261005800</v>
      </c>
      <c r="M363" s="151">
        <v>45471</v>
      </c>
      <c r="N363" s="152">
        <v>45470.78125</v>
      </c>
      <c r="O363" s="152">
        <v>45470.78125</v>
      </c>
      <c r="P363" s="152">
        <v>45470.805555555555</v>
      </c>
      <c r="Q363" s="152">
        <v>45470.989583333336</v>
      </c>
      <c r="R363" s="114" t="s">
        <v>118</v>
      </c>
      <c r="S363" s="114" t="s">
        <v>118</v>
      </c>
      <c r="T363" s="114">
        <v>45471.020833333336</v>
      </c>
      <c r="U363" s="114">
        <v>45471.125</v>
      </c>
      <c r="V363" s="165">
        <f t="shared" si="204"/>
        <v>0.20833333333575865</v>
      </c>
      <c r="W363" s="165">
        <v>0.20833333333333334</v>
      </c>
      <c r="X363" s="165">
        <f t="shared" si="205"/>
        <v>2.4253099528692701E-12</v>
      </c>
      <c r="Y363" s="96">
        <v>27</v>
      </c>
      <c r="Z363" s="96">
        <v>32</v>
      </c>
      <c r="AA363" s="96">
        <f t="shared" si="198"/>
        <v>59</v>
      </c>
      <c r="AB363" s="97">
        <f t="shared" si="199"/>
        <v>1836.5171186440678</v>
      </c>
      <c r="AC363" s="97">
        <f t="shared" si="200"/>
        <v>2176.6128813559321</v>
      </c>
      <c r="AD363" s="98">
        <v>4013.13</v>
      </c>
      <c r="AE363" s="98">
        <v>4099.1000000000004</v>
      </c>
      <c r="AF363" s="98">
        <v>4106.3999999999996</v>
      </c>
      <c r="AG363" s="98">
        <f t="shared" si="201"/>
        <v>93.269999999999527</v>
      </c>
      <c r="AH363" s="99">
        <v>1398.7</v>
      </c>
      <c r="AI363" s="100">
        <f t="shared" si="202"/>
        <v>5743621.6799999997</v>
      </c>
      <c r="AJ363" s="100">
        <f t="shared" si="213"/>
        <v>0</v>
      </c>
      <c r="AK363" s="100">
        <v>0</v>
      </c>
      <c r="AL363" s="100">
        <v>24290</v>
      </c>
      <c r="AM363" s="100">
        <v>0</v>
      </c>
      <c r="AN363" s="100">
        <v>0</v>
      </c>
      <c r="AO363" s="100">
        <v>0</v>
      </c>
      <c r="AP363" s="100">
        <f t="shared" si="188"/>
        <v>288396</v>
      </c>
      <c r="AQ363" s="101">
        <f t="shared" si="214"/>
        <v>6056308</v>
      </c>
      <c r="AR363" s="101">
        <v>0</v>
      </c>
      <c r="AS363" s="101">
        <v>0</v>
      </c>
      <c r="AT363" s="102" t="s">
        <v>33</v>
      </c>
      <c r="AU363" s="157">
        <v>4</v>
      </c>
      <c r="AV363" s="100"/>
      <c r="AW363" s="105"/>
      <c r="AX363" s="106">
        <f t="shared" si="206"/>
        <v>2.2713325540619405</v>
      </c>
      <c r="AY363" s="101">
        <f t="shared" si="207"/>
        <v>130457</v>
      </c>
      <c r="AZ363" s="107"/>
      <c r="BA363" s="94">
        <v>45470.78125</v>
      </c>
      <c r="BB363" s="94">
        <v>45470.805555555555</v>
      </c>
      <c r="BC363" s="94">
        <v>45470.805555555555</v>
      </c>
      <c r="BD363" s="94">
        <v>45470.887499999997</v>
      </c>
      <c r="BE363" s="95">
        <f t="shared" si="208"/>
        <v>0.10624999999708962</v>
      </c>
      <c r="BF363" s="95">
        <v>0</v>
      </c>
      <c r="BG363" s="95">
        <v>0</v>
      </c>
      <c r="BH363" s="95">
        <f t="shared" si="209"/>
        <v>2.4305555554747116E-2</v>
      </c>
      <c r="BI363" s="95">
        <f t="shared" si="209"/>
        <v>0</v>
      </c>
      <c r="BJ363" s="95">
        <f t="shared" si="209"/>
        <v>8.1944444442342501E-2</v>
      </c>
      <c r="BK363" s="95">
        <f t="shared" si="210"/>
        <v>8.1944444442342501E-2</v>
      </c>
      <c r="BL363" s="95">
        <f t="shared" si="211"/>
        <v>8.1944444442342501E-2</v>
      </c>
      <c r="BM363" s="95" t="str">
        <f t="shared" si="212"/>
        <v>00:00</v>
      </c>
      <c r="BN363" s="110"/>
    </row>
    <row r="364" spans="1:66" s="8" customFormat="1" ht="12.75" customHeight="1" x14ac:dyDescent="0.25">
      <c r="A364" s="150">
        <v>321</v>
      </c>
      <c r="B364" s="150">
        <v>86</v>
      </c>
      <c r="C364" s="90">
        <v>6</v>
      </c>
      <c r="D364" s="90" t="s">
        <v>148</v>
      </c>
      <c r="E364" s="91" t="s">
        <v>515</v>
      </c>
      <c r="F364" s="90" t="s">
        <v>16</v>
      </c>
      <c r="G364" s="90" t="s">
        <v>17</v>
      </c>
      <c r="H364" s="90" t="s">
        <v>150</v>
      </c>
      <c r="I364" s="135" t="s">
        <v>523</v>
      </c>
      <c r="J364" s="151">
        <v>45470</v>
      </c>
      <c r="K364" s="135" t="s">
        <v>117</v>
      </c>
      <c r="L364" s="135">
        <v>461000318</v>
      </c>
      <c r="M364" s="151">
        <v>45471</v>
      </c>
      <c r="N364" s="152">
        <v>45471.21875</v>
      </c>
      <c r="O364" s="152">
        <v>45471.208333333336</v>
      </c>
      <c r="P364" s="152">
        <v>45471.222222222219</v>
      </c>
      <c r="Q364" s="152">
        <v>45471.375</v>
      </c>
      <c r="R364" s="114">
        <v>45471.21875</v>
      </c>
      <c r="S364" s="114" t="s">
        <v>118</v>
      </c>
      <c r="T364" s="114">
        <v>45471.375</v>
      </c>
      <c r="U364" s="114">
        <v>45471.510416666664</v>
      </c>
      <c r="V364" s="165">
        <f t="shared" si="204"/>
        <v>0.16666666666424135</v>
      </c>
      <c r="W364" s="165">
        <v>0.20833333333333334</v>
      </c>
      <c r="X364" s="165" t="str">
        <f t="shared" si="205"/>
        <v>00:00</v>
      </c>
      <c r="Y364" s="96">
        <v>26</v>
      </c>
      <c r="Z364" s="96">
        <v>32</v>
      </c>
      <c r="AA364" s="96">
        <f t="shared" si="198"/>
        <v>58</v>
      </c>
      <c r="AB364" s="97">
        <f t="shared" si="199"/>
        <v>1824.3393103448275</v>
      </c>
      <c r="AC364" s="97">
        <f t="shared" si="200"/>
        <v>2245.3406896551724</v>
      </c>
      <c r="AD364" s="98">
        <v>4069.68</v>
      </c>
      <c r="AE364" s="98">
        <v>4050.2</v>
      </c>
      <c r="AF364" s="98">
        <v>4086.2</v>
      </c>
      <c r="AG364" s="98">
        <f t="shared" si="201"/>
        <v>16.519999999999982</v>
      </c>
      <c r="AH364" s="99">
        <v>672.5</v>
      </c>
      <c r="AI364" s="100">
        <f t="shared" si="202"/>
        <v>2747969.5</v>
      </c>
      <c r="AJ364" s="100">
        <f t="shared" si="213"/>
        <v>0</v>
      </c>
      <c r="AK364" s="100">
        <v>0</v>
      </c>
      <c r="AL364" s="100">
        <v>24140</v>
      </c>
      <c r="AM364" s="100">
        <v>0</v>
      </c>
      <c r="AN364" s="100">
        <v>0</v>
      </c>
      <c r="AO364" s="100">
        <v>0</v>
      </c>
      <c r="AP364" s="100">
        <f t="shared" si="188"/>
        <v>138606</v>
      </c>
      <c r="AQ364" s="101">
        <f t="shared" si="214"/>
        <v>2910716</v>
      </c>
      <c r="AR364" s="101">
        <v>0</v>
      </c>
      <c r="AS364" s="101">
        <v>0</v>
      </c>
      <c r="AT364" s="102" t="s">
        <v>33</v>
      </c>
      <c r="AU364" s="157">
        <v>28</v>
      </c>
      <c r="AV364" s="100">
        <f>78.87-31.87</f>
        <v>47</v>
      </c>
      <c r="AW364" s="105"/>
      <c r="AX364" s="106">
        <f t="shared" si="206"/>
        <v>0.40428760217316778</v>
      </c>
      <c r="AY364" s="101">
        <f t="shared" si="207"/>
        <v>11110</v>
      </c>
      <c r="AZ364" s="107"/>
      <c r="BA364" s="94">
        <v>45471.21875</v>
      </c>
      <c r="BB364" s="94">
        <v>45471.222222222219</v>
      </c>
      <c r="BC364" s="94">
        <v>45471.222222222219</v>
      </c>
      <c r="BD364" s="94">
        <v>45471.311805555553</v>
      </c>
      <c r="BE364" s="95">
        <f t="shared" si="208"/>
        <v>9.3055555553291924E-2</v>
      </c>
      <c r="BF364" s="95">
        <v>3.472222222222222E-3</v>
      </c>
      <c r="BG364" s="95">
        <v>0</v>
      </c>
      <c r="BH364" s="95">
        <f t="shared" si="209"/>
        <v>3.4722222189884633E-3</v>
      </c>
      <c r="BI364" s="95">
        <f t="shared" si="209"/>
        <v>0</v>
      </c>
      <c r="BJ364" s="95">
        <f t="shared" si="209"/>
        <v>8.9583333334303461E-2</v>
      </c>
      <c r="BK364" s="95">
        <f t="shared" si="210"/>
        <v>8.9583333334303461E-2</v>
      </c>
      <c r="BL364" s="95">
        <f t="shared" si="211"/>
        <v>8.6111111112081237E-2</v>
      </c>
      <c r="BM364" s="95" t="str">
        <f t="shared" si="212"/>
        <v>00:00</v>
      </c>
      <c r="BN364" s="110"/>
    </row>
    <row r="365" spans="1:66" s="8" customFormat="1" ht="12.75" customHeight="1" x14ac:dyDescent="0.25">
      <c r="A365" s="153">
        <v>322</v>
      </c>
      <c r="B365" s="150">
        <v>87</v>
      </c>
      <c r="C365" s="90">
        <v>28</v>
      </c>
      <c r="D365" s="90" t="s">
        <v>113</v>
      </c>
      <c r="E365" s="91" t="s">
        <v>319</v>
      </c>
      <c r="F365" s="90" t="s">
        <v>32</v>
      </c>
      <c r="G365" s="90" t="s">
        <v>8</v>
      </c>
      <c r="H365" s="90" t="s">
        <v>120</v>
      </c>
      <c r="I365" s="135" t="s">
        <v>524</v>
      </c>
      <c r="J365" s="151">
        <v>45471</v>
      </c>
      <c r="K365" s="135" t="s">
        <v>117</v>
      </c>
      <c r="L365" s="135">
        <v>261005802</v>
      </c>
      <c r="M365" s="151">
        <v>45472</v>
      </c>
      <c r="N365" s="152">
        <v>45471.770833333336</v>
      </c>
      <c r="O365" s="152">
        <v>45471.75</v>
      </c>
      <c r="P365" s="152">
        <v>45471.791666666664</v>
      </c>
      <c r="Q365" s="152">
        <v>45471.9375</v>
      </c>
      <c r="R365" s="114">
        <v>45471.770833333336</v>
      </c>
      <c r="S365" s="114" t="s">
        <v>118</v>
      </c>
      <c r="T365" s="114">
        <v>45471.958333333336</v>
      </c>
      <c r="U365" s="114">
        <v>45472.084722222222</v>
      </c>
      <c r="V365" s="165">
        <f t="shared" si="204"/>
        <v>0.1875</v>
      </c>
      <c r="W365" s="165">
        <v>0.20833333333333334</v>
      </c>
      <c r="X365" s="165" t="str">
        <f t="shared" si="205"/>
        <v>00:00</v>
      </c>
      <c r="Y365" s="96">
        <v>27</v>
      </c>
      <c r="Z365" s="96">
        <v>32</v>
      </c>
      <c r="AA365" s="96">
        <f t="shared" si="198"/>
        <v>59</v>
      </c>
      <c r="AB365" s="97">
        <f t="shared" si="199"/>
        <v>1839.436779661017</v>
      </c>
      <c r="AC365" s="97">
        <f t="shared" si="200"/>
        <v>2180.073220338983</v>
      </c>
      <c r="AD365" s="98">
        <v>4019.51</v>
      </c>
      <c r="AE365" s="98">
        <v>4085.3</v>
      </c>
      <c r="AF365" s="98">
        <v>4090.4</v>
      </c>
      <c r="AG365" s="98">
        <f t="shared" si="201"/>
        <v>70.889999999999873</v>
      </c>
      <c r="AH365" s="99">
        <v>1398.7</v>
      </c>
      <c r="AI365" s="100">
        <f t="shared" si="202"/>
        <v>5721242.4800000004</v>
      </c>
      <c r="AJ365" s="100">
        <f t="shared" si="213"/>
        <v>0</v>
      </c>
      <c r="AK365" s="100">
        <v>0</v>
      </c>
      <c r="AL365" s="100">
        <v>0</v>
      </c>
      <c r="AM365" s="100">
        <v>0</v>
      </c>
      <c r="AN365" s="100">
        <v>0</v>
      </c>
      <c r="AO365" s="100">
        <v>0</v>
      </c>
      <c r="AP365" s="100">
        <f t="shared" si="188"/>
        <v>286063</v>
      </c>
      <c r="AQ365" s="101">
        <f t="shared" si="214"/>
        <v>6007306</v>
      </c>
      <c r="AR365" s="101">
        <v>0</v>
      </c>
      <c r="AS365" s="101">
        <v>0</v>
      </c>
      <c r="AT365" s="102" t="s">
        <v>33</v>
      </c>
      <c r="AU365" s="174" t="s">
        <v>118</v>
      </c>
      <c r="AV365" s="100">
        <v>0</v>
      </c>
      <c r="AW365" s="175"/>
      <c r="AX365" s="106">
        <f t="shared" si="206"/>
        <v>1.7330823391355337</v>
      </c>
      <c r="AY365" s="101">
        <f t="shared" si="207"/>
        <v>99154</v>
      </c>
      <c r="AZ365" s="176"/>
      <c r="BA365" s="94">
        <v>45471.770833333336</v>
      </c>
      <c r="BB365" s="94">
        <v>45471.791666666664</v>
      </c>
      <c r="BC365" s="94">
        <v>45471.791666666664</v>
      </c>
      <c r="BD365" s="94">
        <v>45471.868055555555</v>
      </c>
      <c r="BE365" s="95">
        <f t="shared" si="208"/>
        <v>9.7222222218988463E-2</v>
      </c>
      <c r="BF365" s="95">
        <v>0</v>
      </c>
      <c r="BG365" s="95">
        <v>0</v>
      </c>
      <c r="BH365" s="95">
        <f t="shared" si="209"/>
        <v>2.0833333328482695E-2</v>
      </c>
      <c r="BI365" s="95">
        <f t="shared" si="209"/>
        <v>0</v>
      </c>
      <c r="BJ365" s="95">
        <f t="shared" si="209"/>
        <v>7.6388888890505768E-2</v>
      </c>
      <c r="BK365" s="95">
        <f t="shared" si="210"/>
        <v>7.6388888890505768E-2</v>
      </c>
      <c r="BL365" s="95">
        <f t="shared" si="211"/>
        <v>7.6388888890505768E-2</v>
      </c>
      <c r="BM365" s="95" t="str">
        <f t="shared" si="212"/>
        <v>00:00</v>
      </c>
    </row>
    <row r="366" spans="1:66" s="8" customFormat="1" ht="12.75" customHeight="1" x14ac:dyDescent="0.25">
      <c r="A366" s="115">
        <v>323</v>
      </c>
      <c r="B366" s="115">
        <v>88</v>
      </c>
      <c r="C366" s="90">
        <v>16</v>
      </c>
      <c r="D366" s="90" t="s">
        <v>113</v>
      </c>
      <c r="E366" s="91" t="s">
        <v>296</v>
      </c>
      <c r="F366" s="115" t="s">
        <v>32</v>
      </c>
      <c r="G366" s="115" t="s">
        <v>15</v>
      </c>
      <c r="H366" s="115" t="s">
        <v>146</v>
      </c>
      <c r="I366" s="116" t="s">
        <v>525</v>
      </c>
      <c r="J366" s="117">
        <v>45472</v>
      </c>
      <c r="K366" s="116" t="s">
        <v>122</v>
      </c>
      <c r="L366" s="116">
        <v>261005803</v>
      </c>
      <c r="M366" s="117">
        <v>45472</v>
      </c>
      <c r="N366" s="118">
        <v>45472.34375</v>
      </c>
      <c r="O366" s="118">
        <v>45472.34375</v>
      </c>
      <c r="P366" s="118">
        <v>45472.357638888891</v>
      </c>
      <c r="Q366" s="118">
        <v>45472.552083333336</v>
      </c>
      <c r="R366" s="118" t="s">
        <v>118</v>
      </c>
      <c r="S366" s="118">
        <v>45472.614583333336</v>
      </c>
      <c r="T366" s="118">
        <v>45472.625</v>
      </c>
      <c r="U366" s="118">
        <v>45472.756944444445</v>
      </c>
      <c r="V366" s="119">
        <f t="shared" si="204"/>
        <v>0.20833333333575865</v>
      </c>
      <c r="W366" s="119">
        <v>0.20833333333333334</v>
      </c>
      <c r="X366" s="119">
        <f t="shared" si="205"/>
        <v>2.4253099528692701E-12</v>
      </c>
      <c r="Y366" s="96">
        <v>0</v>
      </c>
      <c r="Z366" s="96">
        <v>3</v>
      </c>
      <c r="AA366" s="96">
        <f t="shared" si="198"/>
        <v>3</v>
      </c>
      <c r="AB366" s="97">
        <f t="shared" si="199"/>
        <v>0</v>
      </c>
      <c r="AC366" s="97">
        <f t="shared" si="200"/>
        <v>211.90000000000009</v>
      </c>
      <c r="AD366" s="98">
        <f>4118.21-3906.31</f>
        <v>211.90000000000009</v>
      </c>
      <c r="AE366" s="98">
        <f>4115.1-3905.1</f>
        <v>210.00000000000045</v>
      </c>
      <c r="AF366" s="98">
        <f>4144.8-3932.9</f>
        <v>211.90000000000009</v>
      </c>
      <c r="AG366" s="98">
        <f t="shared" si="201"/>
        <v>0</v>
      </c>
      <c r="AH366" s="99">
        <v>1398.7</v>
      </c>
      <c r="AI366" s="100">
        <f t="shared" si="202"/>
        <v>296384.53000000014</v>
      </c>
      <c r="AJ366" s="100">
        <f t="shared" si="213"/>
        <v>0</v>
      </c>
      <c r="AK366" s="100"/>
      <c r="AL366" s="100">
        <v>24290</v>
      </c>
      <c r="AM366" s="100">
        <v>0</v>
      </c>
      <c r="AN366" s="100">
        <v>0</v>
      </c>
      <c r="AO366" s="100">
        <v>0</v>
      </c>
      <c r="AP366" s="100">
        <f t="shared" si="188"/>
        <v>16034</v>
      </c>
      <c r="AQ366" s="101">
        <f>ROUNDUP(SUM(AI366:AP366),0)-1</f>
        <v>336708</v>
      </c>
      <c r="AR366" s="101"/>
      <c r="AS366" s="101"/>
      <c r="AT366" s="102" t="s">
        <v>33</v>
      </c>
      <c r="AU366" s="158">
        <v>19</v>
      </c>
      <c r="AV366" s="177">
        <f>45.67-24.67</f>
        <v>21</v>
      </c>
      <c r="AW366" s="105"/>
      <c r="AX366" s="140">
        <f>IFERROR(((AG366+AG367)/(AF366+AF367))*100, "")</f>
        <v>0.64152673229106705</v>
      </c>
      <c r="AY366" s="141">
        <f>ROUNDUP((AG366+AG367)*AH366,0)</f>
        <v>37192</v>
      </c>
      <c r="AZ366" s="107"/>
      <c r="BA366" s="118">
        <v>45472.34375</v>
      </c>
      <c r="BB366" s="118">
        <v>45472.357638888891</v>
      </c>
      <c r="BC366" s="118">
        <v>45472.357638888891</v>
      </c>
      <c r="BD366" s="118">
        <v>45472.59652777778</v>
      </c>
      <c r="BE366" s="119">
        <f t="shared" si="208"/>
        <v>0.25277777777955635</v>
      </c>
      <c r="BF366" s="119">
        <v>0</v>
      </c>
      <c r="BG366" s="119">
        <v>0.10694444444444444</v>
      </c>
      <c r="BH366" s="119">
        <f t="shared" si="209"/>
        <v>1.3888888890505768E-2</v>
      </c>
      <c r="BI366" s="119">
        <f t="shared" si="209"/>
        <v>0</v>
      </c>
      <c r="BJ366" s="119">
        <f t="shared" si="209"/>
        <v>0.23888888888905058</v>
      </c>
      <c r="BK366" s="119">
        <f t="shared" si="210"/>
        <v>0.23888888888905058</v>
      </c>
      <c r="BL366" s="119">
        <f t="shared" si="211"/>
        <v>0.13194444444460612</v>
      </c>
      <c r="BM366" s="178">
        <f t="shared" si="212"/>
        <v>4.4444444446223003E-2</v>
      </c>
      <c r="BN366" s="110" t="s">
        <v>526</v>
      </c>
    </row>
    <row r="367" spans="1:66" s="8" customFormat="1" ht="12.75" customHeight="1" x14ac:dyDescent="0.25">
      <c r="A367" s="179"/>
      <c r="B367" s="179"/>
      <c r="C367" s="90">
        <v>2</v>
      </c>
      <c r="D367" s="90" t="s">
        <v>113</v>
      </c>
      <c r="E367" s="91" t="s">
        <v>483</v>
      </c>
      <c r="F367" s="122"/>
      <c r="G367" s="122"/>
      <c r="H367" s="122"/>
      <c r="I367" s="123"/>
      <c r="J367" s="124"/>
      <c r="K367" s="123"/>
      <c r="L367" s="123"/>
      <c r="M367" s="124"/>
      <c r="N367" s="125"/>
      <c r="O367" s="125"/>
      <c r="P367" s="125"/>
      <c r="Q367" s="125"/>
      <c r="R367" s="125"/>
      <c r="S367" s="125"/>
      <c r="T367" s="125"/>
      <c r="U367" s="125"/>
      <c r="V367" s="126"/>
      <c r="W367" s="126"/>
      <c r="X367" s="126"/>
      <c r="Y367" s="96">
        <v>1</v>
      </c>
      <c r="Z367" s="96">
        <v>55</v>
      </c>
      <c r="AA367" s="96">
        <f t="shared" si="198"/>
        <v>56</v>
      </c>
      <c r="AB367" s="97">
        <f t="shared" si="199"/>
        <v>69.755535714285713</v>
      </c>
      <c r="AC367" s="97">
        <f t="shared" si="200"/>
        <v>3836.5544642857144</v>
      </c>
      <c r="AD367" s="98">
        <v>3906.31</v>
      </c>
      <c r="AE367" s="98">
        <v>3905.1</v>
      </c>
      <c r="AF367" s="98">
        <v>3932.9</v>
      </c>
      <c r="AG367" s="98">
        <f t="shared" si="201"/>
        <v>26.590000000000146</v>
      </c>
      <c r="AH367" s="99">
        <v>1398.7</v>
      </c>
      <c r="AI367" s="100">
        <f t="shared" si="202"/>
        <v>5500947.2300000004</v>
      </c>
      <c r="AJ367" s="100">
        <f t="shared" si="213"/>
        <v>0</v>
      </c>
      <c r="AK367" s="100">
        <v>0</v>
      </c>
      <c r="AL367" s="100">
        <v>0</v>
      </c>
      <c r="AM367" s="100">
        <v>0</v>
      </c>
      <c r="AN367" s="100">
        <v>0</v>
      </c>
      <c r="AO367" s="100">
        <v>0</v>
      </c>
      <c r="AP367" s="100">
        <f t="shared" si="188"/>
        <v>275048</v>
      </c>
      <c r="AQ367" s="101">
        <f t="shared" ref="AQ367:AQ380" si="215">ROUNDUP(SUM(AI367:AP367),0)</f>
        <v>5775996</v>
      </c>
      <c r="AR367" s="101">
        <v>0</v>
      </c>
      <c r="AS367" s="101">
        <v>0</v>
      </c>
      <c r="AT367" s="102" t="s">
        <v>33</v>
      </c>
      <c r="AU367" s="159"/>
      <c r="AV367" s="180"/>
      <c r="AW367" s="105"/>
      <c r="AX367" s="144"/>
      <c r="AY367" s="145"/>
      <c r="AZ367" s="107"/>
      <c r="BA367" s="125"/>
      <c r="BB367" s="125"/>
      <c r="BC367" s="125"/>
      <c r="BD367" s="125"/>
      <c r="BE367" s="126"/>
      <c r="BF367" s="126"/>
      <c r="BG367" s="126"/>
      <c r="BH367" s="126"/>
      <c r="BI367" s="126"/>
      <c r="BJ367" s="126"/>
      <c r="BK367" s="126"/>
      <c r="BL367" s="126"/>
      <c r="BM367" s="181"/>
      <c r="BN367" s="110" t="s">
        <v>527</v>
      </c>
    </row>
    <row r="368" spans="1:66" s="8" customFormat="1" ht="12.75" customHeight="1" x14ac:dyDescent="0.25">
      <c r="A368" s="150">
        <v>324</v>
      </c>
      <c r="B368" s="150">
        <v>89</v>
      </c>
      <c r="C368" s="90">
        <v>7</v>
      </c>
      <c r="D368" s="90" t="s">
        <v>148</v>
      </c>
      <c r="E368" s="91" t="s">
        <v>515</v>
      </c>
      <c r="F368" s="90" t="s">
        <v>16</v>
      </c>
      <c r="G368" s="90" t="s">
        <v>17</v>
      </c>
      <c r="H368" s="90" t="s">
        <v>150</v>
      </c>
      <c r="I368" s="135" t="s">
        <v>528</v>
      </c>
      <c r="J368" s="151">
        <v>45471</v>
      </c>
      <c r="K368" s="135" t="s">
        <v>117</v>
      </c>
      <c r="L368" s="135">
        <v>461000319</v>
      </c>
      <c r="M368" s="151">
        <v>45472</v>
      </c>
      <c r="N368" s="152">
        <v>45472.583333333336</v>
      </c>
      <c r="O368" s="152">
        <v>45472.583333333336</v>
      </c>
      <c r="P368" s="152">
        <v>45472.597222222219</v>
      </c>
      <c r="Q368" s="152">
        <v>45472.78125</v>
      </c>
      <c r="R368" s="114" t="s">
        <v>118</v>
      </c>
      <c r="S368" s="114" t="s">
        <v>118</v>
      </c>
      <c r="T368" s="114">
        <v>45472.819444444445</v>
      </c>
      <c r="U368" s="114">
        <v>45472.954861111109</v>
      </c>
      <c r="V368" s="165">
        <f t="shared" ref="V368:V381" si="216">+Q368-O368</f>
        <v>0.19791666666424135</v>
      </c>
      <c r="W368" s="165">
        <v>0.20833333333333334</v>
      </c>
      <c r="X368" s="165" t="str">
        <f t="shared" ref="X368:X381" si="217">IF(VALUE(V368)&lt;=VALUE("05:00"),"00:00",VALUE(V368)-VALUE("05:00"))</f>
        <v>00:00</v>
      </c>
      <c r="Y368" s="96">
        <v>32</v>
      </c>
      <c r="Z368" s="96">
        <v>26</v>
      </c>
      <c r="AA368" s="96">
        <f t="shared" si="198"/>
        <v>58</v>
      </c>
      <c r="AB368" s="97">
        <f t="shared" si="199"/>
        <v>2171.9337931034484</v>
      </c>
      <c r="AC368" s="97">
        <f t="shared" si="200"/>
        <v>1764.6962068965518</v>
      </c>
      <c r="AD368" s="98">
        <v>3936.63</v>
      </c>
      <c r="AE368" s="98">
        <v>4034.6</v>
      </c>
      <c r="AF368" s="98">
        <v>4036.6</v>
      </c>
      <c r="AG368" s="98">
        <f t="shared" si="201"/>
        <v>99.9699999999998</v>
      </c>
      <c r="AH368" s="99">
        <v>672.5</v>
      </c>
      <c r="AI368" s="100">
        <f t="shared" si="202"/>
        <v>2714613.5</v>
      </c>
      <c r="AJ368" s="100">
        <f>(0.2*AH368)*2</f>
        <v>269</v>
      </c>
      <c r="AK368" s="100">
        <v>0</v>
      </c>
      <c r="AL368" s="100">
        <v>0</v>
      </c>
      <c r="AM368" s="100">
        <v>0</v>
      </c>
      <c r="AN368" s="100">
        <v>0</v>
      </c>
      <c r="AO368" s="100">
        <v>0</v>
      </c>
      <c r="AP368" s="100">
        <f t="shared" si="188"/>
        <v>135745</v>
      </c>
      <c r="AQ368" s="101">
        <f t="shared" si="215"/>
        <v>2850628</v>
      </c>
      <c r="AR368" s="101">
        <v>0</v>
      </c>
      <c r="AS368" s="101">
        <v>0</v>
      </c>
      <c r="AT368" s="102" t="s">
        <v>33</v>
      </c>
      <c r="AU368" s="157" t="s">
        <v>118</v>
      </c>
      <c r="AV368" s="100">
        <v>0</v>
      </c>
      <c r="AW368" s="105"/>
      <c r="AX368" s="106">
        <f t="shared" ref="AX368:AX380" si="218">IFERROR((AG368/AF368)*100, "")</f>
        <v>2.4765892087400236</v>
      </c>
      <c r="AY368" s="101">
        <f t="shared" ref="AY368:AY380" si="219">ROUNDUP(AG368*AH368,0)</f>
        <v>67230</v>
      </c>
      <c r="AZ368" s="107"/>
      <c r="BA368" s="94">
        <v>45472.583333333336</v>
      </c>
      <c r="BB368" s="94">
        <v>45472.597222222219</v>
      </c>
      <c r="BC368" s="94">
        <v>45472.652777777781</v>
      </c>
      <c r="BD368" s="94">
        <v>45472.713888888888</v>
      </c>
      <c r="BE368" s="95">
        <f t="shared" ref="BE368:BE381" si="220">+BD368-BA368</f>
        <v>0.13055555555183673</v>
      </c>
      <c r="BF368" s="95">
        <v>2.7777777777777776E-2</v>
      </c>
      <c r="BG368" s="95">
        <v>3.0555555555555555E-2</v>
      </c>
      <c r="BH368" s="95">
        <f t="shared" ref="BH368:BJ381" si="221">+BB368-BA368</f>
        <v>1.3888888883229811E-2</v>
      </c>
      <c r="BI368" s="95">
        <f t="shared" si="221"/>
        <v>5.5555555562023073E-2</v>
      </c>
      <c r="BJ368" s="95">
        <f t="shared" si="221"/>
        <v>6.1111111106583849E-2</v>
      </c>
      <c r="BK368" s="95">
        <f t="shared" ref="BK368:BK381" si="222">+BI368+BJ368</f>
        <v>0.11666666666860692</v>
      </c>
      <c r="BL368" s="95">
        <f t="shared" ref="BL368:BL381" si="223">+BE368-BH368-BF368-BG368</f>
        <v>5.8333333335273588E-2</v>
      </c>
      <c r="BM368" s="95" t="str">
        <f t="shared" ref="BM368:BM381" si="224">IF(VALUE(BE368)&lt;=VALUE("05:00"),"00:00",VALUE(BE368)-VALUE("05:00"))</f>
        <v>00:00</v>
      </c>
      <c r="BN368" s="110"/>
    </row>
    <row r="369" spans="1:66" s="8" customFormat="1" ht="12.75" customHeight="1" x14ac:dyDescent="0.25">
      <c r="A369" s="150">
        <v>325</v>
      </c>
      <c r="B369" s="150">
        <v>90</v>
      </c>
      <c r="C369" s="90">
        <v>8</v>
      </c>
      <c r="D369" s="90" t="s">
        <v>148</v>
      </c>
      <c r="E369" s="91" t="s">
        <v>515</v>
      </c>
      <c r="F369" s="90" t="s">
        <v>16</v>
      </c>
      <c r="G369" s="90" t="s">
        <v>17</v>
      </c>
      <c r="H369" s="90" t="s">
        <v>150</v>
      </c>
      <c r="I369" s="135" t="s">
        <v>529</v>
      </c>
      <c r="J369" s="151">
        <v>45472</v>
      </c>
      <c r="K369" s="135" t="s">
        <v>122</v>
      </c>
      <c r="L369" s="135">
        <v>461000320</v>
      </c>
      <c r="M369" s="151">
        <v>45473</v>
      </c>
      <c r="N369" s="152">
        <v>45472.8125</v>
      </c>
      <c r="O369" s="152">
        <v>45472.8125</v>
      </c>
      <c r="P369" s="152">
        <v>45472.822916666664</v>
      </c>
      <c r="Q369" s="152">
        <v>45472.989583333336</v>
      </c>
      <c r="R369" s="114" t="s">
        <v>118</v>
      </c>
      <c r="S369" s="114" t="s">
        <v>118</v>
      </c>
      <c r="T369" s="114">
        <v>45473.020833333336</v>
      </c>
      <c r="U369" s="114">
        <v>45473.118055555555</v>
      </c>
      <c r="V369" s="165">
        <f t="shared" si="216"/>
        <v>0.17708333333575865</v>
      </c>
      <c r="W369" s="165">
        <v>0.20833333333333334</v>
      </c>
      <c r="X369" s="165" t="str">
        <f t="shared" si="217"/>
        <v>00:00</v>
      </c>
      <c r="Y369" s="96">
        <v>1</v>
      </c>
      <c r="Z369" s="96">
        <v>58</v>
      </c>
      <c r="AA369" s="96">
        <f t="shared" si="198"/>
        <v>59</v>
      </c>
      <c r="AB369" s="97">
        <f t="shared" si="199"/>
        <v>70.052711864406774</v>
      </c>
      <c r="AC369" s="97">
        <f t="shared" si="200"/>
        <v>4063.0572881355929</v>
      </c>
      <c r="AD369" s="98">
        <v>4133.1099999999997</v>
      </c>
      <c r="AE369" s="98">
        <v>4123.3999999999996</v>
      </c>
      <c r="AF369" s="98">
        <v>4148.3999999999996</v>
      </c>
      <c r="AG369" s="98">
        <f t="shared" si="201"/>
        <v>15.289999999999964</v>
      </c>
      <c r="AH369" s="99">
        <v>672.5</v>
      </c>
      <c r="AI369" s="100">
        <f t="shared" si="202"/>
        <v>2789798.9999999995</v>
      </c>
      <c r="AJ369" s="100">
        <f t="shared" ref="AJ369:AJ376" si="225">(0*AH369)*2</f>
        <v>0</v>
      </c>
      <c r="AK369" s="100">
        <v>0</v>
      </c>
      <c r="AL369" s="100">
        <v>0</v>
      </c>
      <c r="AM369" s="100">
        <v>0</v>
      </c>
      <c r="AN369" s="100">
        <v>0</v>
      </c>
      <c r="AO369" s="100">
        <v>0</v>
      </c>
      <c r="AP369" s="100">
        <f t="shared" si="188"/>
        <v>139490</v>
      </c>
      <c r="AQ369" s="101">
        <f t="shared" si="215"/>
        <v>2929289</v>
      </c>
      <c r="AR369" s="101">
        <v>0</v>
      </c>
      <c r="AS369" s="101">
        <v>0</v>
      </c>
      <c r="AT369" s="102" t="s">
        <v>33</v>
      </c>
      <c r="AU369" s="157">
        <v>12</v>
      </c>
      <c r="AV369" s="100">
        <f>31.87-22.37</f>
        <v>9.5</v>
      </c>
      <c r="AW369" s="105"/>
      <c r="AX369" s="106">
        <f t="shared" si="218"/>
        <v>0.36857583646707082</v>
      </c>
      <c r="AY369" s="101">
        <f t="shared" si="219"/>
        <v>10283</v>
      </c>
      <c r="AZ369" s="107"/>
      <c r="BA369" s="94">
        <v>45472.8125</v>
      </c>
      <c r="BB369" s="94">
        <v>45472.822916666664</v>
      </c>
      <c r="BC369" s="94">
        <v>45472.822916666664</v>
      </c>
      <c r="BD369" s="94">
        <v>45472.956250000003</v>
      </c>
      <c r="BE369" s="95">
        <f t="shared" si="220"/>
        <v>0.14375000000291038</v>
      </c>
      <c r="BF369" s="95">
        <v>0</v>
      </c>
      <c r="BG369" s="95">
        <v>0</v>
      </c>
      <c r="BH369" s="95">
        <f t="shared" si="221"/>
        <v>1.0416666664241347E-2</v>
      </c>
      <c r="BI369" s="95">
        <f t="shared" si="221"/>
        <v>0</v>
      </c>
      <c r="BJ369" s="95">
        <f t="shared" si="221"/>
        <v>0.13333333333866904</v>
      </c>
      <c r="BK369" s="95">
        <f t="shared" si="222"/>
        <v>0.13333333333866904</v>
      </c>
      <c r="BL369" s="95">
        <f t="shared" si="223"/>
        <v>0.13333333333866904</v>
      </c>
      <c r="BM369" s="95" t="str">
        <f t="shared" si="224"/>
        <v>00:00</v>
      </c>
      <c r="BN369" s="110"/>
    </row>
    <row r="370" spans="1:66" s="8" customFormat="1" ht="12.75" customHeight="1" x14ac:dyDescent="0.25">
      <c r="A370" s="150">
        <v>326</v>
      </c>
      <c r="B370" s="150">
        <v>91</v>
      </c>
      <c r="C370" s="90">
        <v>1</v>
      </c>
      <c r="D370" s="90" t="s">
        <v>113</v>
      </c>
      <c r="E370" s="91" t="s">
        <v>530</v>
      </c>
      <c r="F370" s="90" t="s">
        <v>29</v>
      </c>
      <c r="G370" s="90" t="s">
        <v>15</v>
      </c>
      <c r="H370" s="90" t="s">
        <v>124</v>
      </c>
      <c r="I370" s="135" t="s">
        <v>531</v>
      </c>
      <c r="J370" s="151">
        <v>45472</v>
      </c>
      <c r="K370" s="135" t="s">
        <v>117</v>
      </c>
      <c r="L370" s="135">
        <v>461000321</v>
      </c>
      <c r="M370" s="151">
        <v>45473</v>
      </c>
      <c r="N370" s="152">
        <v>45473.006944444445</v>
      </c>
      <c r="O370" s="152">
        <v>45472.989583333336</v>
      </c>
      <c r="P370" s="152">
        <v>45473.027777777781</v>
      </c>
      <c r="Q370" s="152">
        <v>45473.197916666664</v>
      </c>
      <c r="R370" s="114">
        <v>45473.006944444445</v>
      </c>
      <c r="S370" s="114">
        <v>45473.270833333336</v>
      </c>
      <c r="T370" s="114">
        <v>45473.291666666664</v>
      </c>
      <c r="U370" s="114">
        <v>45473.385416666664</v>
      </c>
      <c r="V370" s="165">
        <f t="shared" si="216"/>
        <v>0.20833333332848269</v>
      </c>
      <c r="W370" s="165">
        <v>0.20833333333333334</v>
      </c>
      <c r="X370" s="165" t="str">
        <f t="shared" si="217"/>
        <v>00:00</v>
      </c>
      <c r="Y370" s="96">
        <v>0</v>
      </c>
      <c r="Z370" s="96">
        <v>58</v>
      </c>
      <c r="AA370" s="96">
        <f t="shared" si="198"/>
        <v>58</v>
      </c>
      <c r="AB370" s="97">
        <f t="shared" si="199"/>
        <v>0</v>
      </c>
      <c r="AC370" s="97">
        <f t="shared" si="200"/>
        <v>3823.5299999999997</v>
      </c>
      <c r="AD370" s="98">
        <v>3823.53</v>
      </c>
      <c r="AE370" s="98">
        <v>4017.8</v>
      </c>
      <c r="AF370" s="98">
        <v>4017.8</v>
      </c>
      <c r="AG370" s="98">
        <f t="shared" si="201"/>
        <v>194.26999999999998</v>
      </c>
      <c r="AH370" s="99">
        <v>797.2</v>
      </c>
      <c r="AI370" s="100">
        <f t="shared" si="202"/>
        <v>3202990.16</v>
      </c>
      <c r="AJ370" s="100">
        <f t="shared" si="225"/>
        <v>0</v>
      </c>
      <c r="AK370" s="100">
        <v>0</v>
      </c>
      <c r="AL370" s="100">
        <v>0</v>
      </c>
      <c r="AM370" s="100">
        <v>0</v>
      </c>
      <c r="AN370" s="100">
        <v>0</v>
      </c>
      <c r="AO370" s="100">
        <v>0</v>
      </c>
      <c r="AP370" s="100">
        <f t="shared" si="188"/>
        <v>160150</v>
      </c>
      <c r="AQ370" s="101">
        <f t="shared" si="215"/>
        <v>3363141</v>
      </c>
      <c r="AR370" s="101">
        <v>0</v>
      </c>
      <c r="AS370" s="101">
        <v>0</v>
      </c>
      <c r="AT370" s="102" t="s">
        <v>33</v>
      </c>
      <c r="AU370" s="157" t="s">
        <v>118</v>
      </c>
      <c r="AV370" s="100">
        <v>0</v>
      </c>
      <c r="AW370" s="105"/>
      <c r="AX370" s="106">
        <f t="shared" si="218"/>
        <v>4.8352332122056838</v>
      </c>
      <c r="AY370" s="101">
        <f t="shared" si="219"/>
        <v>154873</v>
      </c>
      <c r="AZ370" s="107"/>
      <c r="BA370" s="94">
        <v>45473.006944444445</v>
      </c>
      <c r="BB370" s="94">
        <v>45473.027777777781</v>
      </c>
      <c r="BC370" s="94">
        <v>45473.027777777781</v>
      </c>
      <c r="BD370" s="94">
        <v>45473.251388888886</v>
      </c>
      <c r="BE370" s="95">
        <f t="shared" si="220"/>
        <v>0.24444444444088731</v>
      </c>
      <c r="BF370" s="95">
        <v>0</v>
      </c>
      <c r="BG370" s="95">
        <v>0.10277777777777777</v>
      </c>
      <c r="BH370" s="95">
        <f t="shared" si="221"/>
        <v>2.0833333335758653E-2</v>
      </c>
      <c r="BI370" s="95">
        <f t="shared" si="221"/>
        <v>0</v>
      </c>
      <c r="BJ370" s="95">
        <f t="shared" si="221"/>
        <v>0.22361111110512866</v>
      </c>
      <c r="BK370" s="95">
        <f t="shared" si="222"/>
        <v>0.22361111110512866</v>
      </c>
      <c r="BL370" s="95">
        <f t="shared" si="223"/>
        <v>0.12083333332735088</v>
      </c>
      <c r="BM370" s="95">
        <f t="shared" si="224"/>
        <v>3.6111111107553967E-2</v>
      </c>
      <c r="BN370" s="110"/>
    </row>
    <row r="371" spans="1:66" s="8" customFormat="1" ht="12.75" customHeight="1" x14ac:dyDescent="0.25">
      <c r="A371" s="150">
        <v>327</v>
      </c>
      <c r="B371" s="150">
        <v>92</v>
      </c>
      <c r="C371" s="90">
        <v>9</v>
      </c>
      <c r="D371" s="90" t="s">
        <v>148</v>
      </c>
      <c r="E371" s="91" t="s">
        <v>515</v>
      </c>
      <c r="F371" s="90" t="s">
        <v>16</v>
      </c>
      <c r="G371" s="90" t="s">
        <v>17</v>
      </c>
      <c r="H371" s="90" t="s">
        <v>150</v>
      </c>
      <c r="I371" s="135" t="s">
        <v>532</v>
      </c>
      <c r="J371" s="151">
        <v>45472</v>
      </c>
      <c r="K371" s="135" t="s">
        <v>122</v>
      </c>
      <c r="L371" s="135">
        <v>461000322</v>
      </c>
      <c r="M371" s="151">
        <v>45473</v>
      </c>
      <c r="N371" s="152">
        <v>45473.333333333336</v>
      </c>
      <c r="O371" s="152">
        <v>45473.333333333336</v>
      </c>
      <c r="P371" s="152">
        <v>45473.361111111109</v>
      </c>
      <c r="Q371" s="152">
        <v>45473.520833333336</v>
      </c>
      <c r="R371" s="114" t="s">
        <v>118</v>
      </c>
      <c r="S371" s="114" t="s">
        <v>118</v>
      </c>
      <c r="T371" s="114">
        <v>45473.541666666664</v>
      </c>
      <c r="U371" s="114">
        <v>45473.593055555553</v>
      </c>
      <c r="V371" s="165">
        <f t="shared" si="216"/>
        <v>0.1875</v>
      </c>
      <c r="W371" s="165">
        <v>0.20833333333333334</v>
      </c>
      <c r="X371" s="165" t="str">
        <f t="shared" si="217"/>
        <v>00:00</v>
      </c>
      <c r="Y371" s="96">
        <v>1</v>
      </c>
      <c r="Z371" s="96">
        <v>58</v>
      </c>
      <c r="AA371" s="96">
        <f t="shared" si="198"/>
        <v>59</v>
      </c>
      <c r="AB371" s="97">
        <f t="shared" si="199"/>
        <v>66.783389830508469</v>
      </c>
      <c r="AC371" s="97">
        <f t="shared" si="200"/>
        <v>3873.4366101694914</v>
      </c>
      <c r="AD371" s="98">
        <v>3940.22</v>
      </c>
      <c r="AE371" s="98">
        <v>4107.8999999999996</v>
      </c>
      <c r="AF371" s="98">
        <v>4108</v>
      </c>
      <c r="AG371" s="98">
        <f t="shared" si="201"/>
        <v>167.7800000000002</v>
      </c>
      <c r="AH371" s="99">
        <v>672.5</v>
      </c>
      <c r="AI371" s="100">
        <f t="shared" si="202"/>
        <v>2762630</v>
      </c>
      <c r="AJ371" s="100">
        <f t="shared" si="225"/>
        <v>0</v>
      </c>
      <c r="AK371" s="100">
        <v>0</v>
      </c>
      <c r="AL371" s="100">
        <v>24290</v>
      </c>
      <c r="AM371" s="100">
        <v>0</v>
      </c>
      <c r="AN371" s="100">
        <v>0</v>
      </c>
      <c r="AO371" s="100">
        <v>0</v>
      </c>
      <c r="AP371" s="100">
        <f t="shared" si="188"/>
        <v>139346</v>
      </c>
      <c r="AQ371" s="101">
        <f t="shared" si="215"/>
        <v>2926266</v>
      </c>
      <c r="AR371" s="101">
        <v>0</v>
      </c>
      <c r="AS371" s="101">
        <v>0</v>
      </c>
      <c r="AT371" s="102" t="s">
        <v>33</v>
      </c>
      <c r="AU371" s="157" t="s">
        <v>118</v>
      </c>
      <c r="AV371" s="100">
        <v>0</v>
      </c>
      <c r="AW371" s="105"/>
      <c r="AX371" s="106">
        <f t="shared" si="218"/>
        <v>4.0842259006816022</v>
      </c>
      <c r="AY371" s="101">
        <f t="shared" si="219"/>
        <v>112833</v>
      </c>
      <c r="AZ371" s="107"/>
      <c r="BA371" s="94">
        <v>45473.333333333336</v>
      </c>
      <c r="BB371" s="94">
        <v>45473.361111111109</v>
      </c>
      <c r="BC371" s="94">
        <v>45473.361111111109</v>
      </c>
      <c r="BD371" s="94">
        <v>45473.481249999997</v>
      </c>
      <c r="BE371" s="95">
        <f t="shared" si="220"/>
        <v>0.14791666666133096</v>
      </c>
      <c r="BF371" s="95">
        <v>0</v>
      </c>
      <c r="BG371" s="95">
        <v>0</v>
      </c>
      <c r="BH371" s="95">
        <f t="shared" si="221"/>
        <v>2.7777777773735579E-2</v>
      </c>
      <c r="BI371" s="95">
        <f t="shared" si="221"/>
        <v>0</v>
      </c>
      <c r="BJ371" s="95">
        <f t="shared" si="221"/>
        <v>0.12013888888759539</v>
      </c>
      <c r="BK371" s="95">
        <f t="shared" si="222"/>
        <v>0.12013888888759539</v>
      </c>
      <c r="BL371" s="95">
        <f t="shared" si="223"/>
        <v>0.12013888888759539</v>
      </c>
      <c r="BM371" s="95" t="str">
        <f t="shared" si="224"/>
        <v>00:00</v>
      </c>
      <c r="BN371" s="110"/>
    </row>
    <row r="372" spans="1:66" s="8" customFormat="1" ht="12.75" customHeight="1" x14ac:dyDescent="0.25">
      <c r="A372" s="150">
        <v>328</v>
      </c>
      <c r="B372" s="150">
        <v>93</v>
      </c>
      <c r="C372" s="90">
        <v>10</v>
      </c>
      <c r="D372" s="90" t="s">
        <v>148</v>
      </c>
      <c r="E372" s="91" t="s">
        <v>515</v>
      </c>
      <c r="F372" s="90" t="s">
        <v>16</v>
      </c>
      <c r="G372" s="90" t="s">
        <v>17</v>
      </c>
      <c r="H372" s="90" t="s">
        <v>150</v>
      </c>
      <c r="I372" s="135" t="s">
        <v>533</v>
      </c>
      <c r="J372" s="151">
        <v>45472</v>
      </c>
      <c r="K372" s="135" t="s">
        <v>117</v>
      </c>
      <c r="L372" s="135">
        <v>461000323</v>
      </c>
      <c r="M372" s="151">
        <v>45473</v>
      </c>
      <c r="N372" s="152">
        <v>45473.583333333336</v>
      </c>
      <c r="O372" s="152">
        <v>45473.583333333336</v>
      </c>
      <c r="P372" s="152">
        <v>45473.590277777781</v>
      </c>
      <c r="Q372" s="152">
        <v>45473.791666666664</v>
      </c>
      <c r="R372" s="114" t="s">
        <v>118</v>
      </c>
      <c r="S372" s="114" t="s">
        <v>118</v>
      </c>
      <c r="T372" s="114">
        <v>45473.798611111109</v>
      </c>
      <c r="U372" s="114">
        <v>45473.857638888891</v>
      </c>
      <c r="V372" s="165">
        <f t="shared" si="216"/>
        <v>0.20833333332848269</v>
      </c>
      <c r="W372" s="165">
        <v>0.20833333333333334</v>
      </c>
      <c r="X372" s="165" t="str">
        <f t="shared" si="217"/>
        <v>00:00</v>
      </c>
      <c r="Y372" s="96">
        <v>1</v>
      </c>
      <c r="Z372" s="96">
        <v>58</v>
      </c>
      <c r="AA372" s="96">
        <f t="shared" si="198"/>
        <v>59</v>
      </c>
      <c r="AB372" s="97">
        <f t="shared" si="199"/>
        <v>68.829322033898308</v>
      </c>
      <c r="AC372" s="97">
        <f t="shared" si="200"/>
        <v>3992.100677966102</v>
      </c>
      <c r="AD372" s="98">
        <v>4060.93</v>
      </c>
      <c r="AE372" s="98">
        <v>4107.5</v>
      </c>
      <c r="AF372" s="98">
        <v>4116.2</v>
      </c>
      <c r="AG372" s="98">
        <f t="shared" si="201"/>
        <v>55.269999999999982</v>
      </c>
      <c r="AH372" s="99">
        <v>672.5</v>
      </c>
      <c r="AI372" s="100">
        <f t="shared" si="202"/>
        <v>2768144.5</v>
      </c>
      <c r="AJ372" s="100">
        <f t="shared" si="225"/>
        <v>0</v>
      </c>
      <c r="AK372" s="100">
        <v>0</v>
      </c>
      <c r="AL372" s="100">
        <v>24290</v>
      </c>
      <c r="AM372" s="100">
        <v>0</v>
      </c>
      <c r="AN372" s="100">
        <v>0</v>
      </c>
      <c r="AO372" s="100">
        <v>0</v>
      </c>
      <c r="AP372" s="100">
        <f t="shared" si="188"/>
        <v>139622</v>
      </c>
      <c r="AQ372" s="101">
        <f t="shared" si="215"/>
        <v>2932057</v>
      </c>
      <c r="AR372" s="101">
        <v>0</v>
      </c>
      <c r="AS372" s="101">
        <v>0</v>
      </c>
      <c r="AT372" s="102" t="s">
        <v>33</v>
      </c>
      <c r="AU372" s="157">
        <v>2</v>
      </c>
      <c r="AV372" s="100">
        <f>12.1-8.6</f>
        <v>3.5</v>
      </c>
      <c r="AW372" s="105"/>
      <c r="AX372" s="106">
        <f t="shared" si="218"/>
        <v>1.3427433069335792</v>
      </c>
      <c r="AY372" s="101">
        <f t="shared" si="219"/>
        <v>37170</v>
      </c>
      <c r="AZ372" s="107"/>
      <c r="BA372" s="94">
        <v>45473.572916666664</v>
      </c>
      <c r="BB372" s="94">
        <v>45473.579861111109</v>
      </c>
      <c r="BC372" s="94">
        <v>45473.579861111109</v>
      </c>
      <c r="BD372" s="94">
        <v>45473.709722222222</v>
      </c>
      <c r="BE372" s="95">
        <f t="shared" si="220"/>
        <v>0.1368055555576575</v>
      </c>
      <c r="BF372" s="95">
        <v>0</v>
      </c>
      <c r="BG372" s="95">
        <v>0</v>
      </c>
      <c r="BH372" s="95">
        <f t="shared" si="221"/>
        <v>6.9444444452528842E-3</v>
      </c>
      <c r="BI372" s="95">
        <f t="shared" si="221"/>
        <v>0</v>
      </c>
      <c r="BJ372" s="95">
        <f t="shared" si="221"/>
        <v>0.12986111111240461</v>
      </c>
      <c r="BK372" s="95">
        <f t="shared" si="222"/>
        <v>0.12986111111240461</v>
      </c>
      <c r="BL372" s="95">
        <f t="shared" si="223"/>
        <v>0.12986111111240461</v>
      </c>
      <c r="BM372" s="95" t="str">
        <f t="shared" si="224"/>
        <v>00:00</v>
      </c>
      <c r="BN372" s="110"/>
    </row>
    <row r="373" spans="1:66" s="8" customFormat="1" ht="12.75" customHeight="1" x14ac:dyDescent="0.25">
      <c r="A373" s="150">
        <v>329</v>
      </c>
      <c r="B373" s="150">
        <v>94</v>
      </c>
      <c r="C373" s="90">
        <v>10</v>
      </c>
      <c r="D373" s="90" t="s">
        <v>113</v>
      </c>
      <c r="E373" s="91" t="s">
        <v>366</v>
      </c>
      <c r="F373" s="90" t="s">
        <v>13</v>
      </c>
      <c r="G373" s="90" t="s">
        <v>8</v>
      </c>
      <c r="H373" s="90" t="s">
        <v>131</v>
      </c>
      <c r="I373" s="135" t="s">
        <v>534</v>
      </c>
      <c r="J373" s="151">
        <v>45473</v>
      </c>
      <c r="K373" s="135" t="s">
        <v>122</v>
      </c>
      <c r="L373" s="135">
        <v>282000986</v>
      </c>
      <c r="M373" s="151">
        <v>45474</v>
      </c>
      <c r="N373" s="152">
        <v>45473.708333333336</v>
      </c>
      <c r="O373" s="152">
        <v>45473.708333333336</v>
      </c>
      <c r="P373" s="152">
        <v>45473.715277777781</v>
      </c>
      <c r="Q373" s="152">
        <v>45473.90625</v>
      </c>
      <c r="R373" s="114" t="s">
        <v>118</v>
      </c>
      <c r="S373" s="114" t="s">
        <v>118</v>
      </c>
      <c r="T373" s="114">
        <v>45473.958333333336</v>
      </c>
      <c r="U373" s="114">
        <v>45474.09375</v>
      </c>
      <c r="V373" s="165">
        <f t="shared" si="216"/>
        <v>0.19791666666424135</v>
      </c>
      <c r="W373" s="165">
        <v>0.20833333333333334</v>
      </c>
      <c r="X373" s="165" t="str">
        <f t="shared" si="217"/>
        <v>00:00</v>
      </c>
      <c r="Y373" s="96">
        <v>0</v>
      </c>
      <c r="Z373" s="96">
        <v>58</v>
      </c>
      <c r="AA373" s="96">
        <f t="shared" si="198"/>
        <v>58</v>
      </c>
      <c r="AB373" s="97">
        <f t="shared" si="199"/>
        <v>0</v>
      </c>
      <c r="AC373" s="97">
        <f t="shared" si="200"/>
        <v>4022.7399999999993</v>
      </c>
      <c r="AD373" s="98">
        <v>4022.74</v>
      </c>
      <c r="AE373" s="98">
        <v>4041.9</v>
      </c>
      <c r="AF373" s="98">
        <v>4052</v>
      </c>
      <c r="AG373" s="98">
        <f t="shared" si="201"/>
        <v>29.260000000000218</v>
      </c>
      <c r="AH373" s="99">
        <v>1398.7</v>
      </c>
      <c r="AI373" s="100">
        <f t="shared" si="202"/>
        <v>5667532.4000000004</v>
      </c>
      <c r="AJ373" s="100">
        <f t="shared" si="225"/>
        <v>0</v>
      </c>
      <c r="AK373" s="100">
        <v>0</v>
      </c>
      <c r="AL373" s="100">
        <v>24140</v>
      </c>
      <c r="AM373" s="100">
        <v>0</v>
      </c>
      <c r="AN373" s="100">
        <v>0</v>
      </c>
      <c r="AO373" s="100">
        <v>0</v>
      </c>
      <c r="AP373" s="100">
        <f t="shared" si="188"/>
        <v>284584</v>
      </c>
      <c r="AQ373" s="101">
        <f t="shared" si="215"/>
        <v>5976257</v>
      </c>
      <c r="AR373" s="101">
        <v>0</v>
      </c>
      <c r="AS373" s="101">
        <v>0</v>
      </c>
      <c r="AT373" s="102" t="s">
        <v>33</v>
      </c>
      <c r="AU373" s="157">
        <v>4</v>
      </c>
      <c r="AV373" s="100">
        <f>12.43-8.93</f>
        <v>3.5</v>
      </c>
      <c r="AW373" s="105"/>
      <c r="AX373" s="106">
        <f t="shared" si="218"/>
        <v>0.72211253701876155</v>
      </c>
      <c r="AY373" s="101">
        <f t="shared" si="219"/>
        <v>40926</v>
      </c>
      <c r="AZ373" s="107"/>
      <c r="BA373" s="94">
        <v>45473.708333333336</v>
      </c>
      <c r="BB373" s="94">
        <v>45473.715277777781</v>
      </c>
      <c r="BC373" s="94">
        <v>45473.758333333331</v>
      </c>
      <c r="BD373" s="94">
        <v>45473.90625</v>
      </c>
      <c r="BE373" s="95">
        <f t="shared" si="220"/>
        <v>0.19791666666424135</v>
      </c>
      <c r="BF373" s="95">
        <v>2.2222222222222223E-2</v>
      </c>
      <c r="BG373" s="95">
        <v>2.0833333333333332E-2</v>
      </c>
      <c r="BH373" s="95">
        <f t="shared" si="221"/>
        <v>6.9444444452528842E-3</v>
      </c>
      <c r="BI373" s="95">
        <f t="shared" si="221"/>
        <v>4.3055555550381541E-2</v>
      </c>
      <c r="BJ373" s="95">
        <f t="shared" si="221"/>
        <v>0.14791666666860692</v>
      </c>
      <c r="BK373" s="95">
        <f t="shared" si="222"/>
        <v>0.19097222221898846</v>
      </c>
      <c r="BL373" s="95">
        <f t="shared" si="223"/>
        <v>0.14791666666343289</v>
      </c>
      <c r="BM373" s="95" t="str">
        <f t="shared" si="224"/>
        <v>00:00</v>
      </c>
      <c r="BN373" s="110"/>
    </row>
    <row r="374" spans="1:66" s="8" customFormat="1" ht="12.75" customHeight="1" x14ac:dyDescent="0.25">
      <c r="A374" s="150">
        <v>330</v>
      </c>
      <c r="B374" s="150">
        <v>1</v>
      </c>
      <c r="C374" s="90">
        <v>11</v>
      </c>
      <c r="D374" s="90" t="s">
        <v>148</v>
      </c>
      <c r="E374" s="91" t="s">
        <v>515</v>
      </c>
      <c r="F374" s="90" t="s">
        <v>16</v>
      </c>
      <c r="G374" s="90" t="s">
        <v>17</v>
      </c>
      <c r="H374" s="90" t="s">
        <v>150</v>
      </c>
      <c r="I374" s="135" t="s">
        <v>535</v>
      </c>
      <c r="J374" s="151">
        <v>45472</v>
      </c>
      <c r="K374" s="135" t="s">
        <v>117</v>
      </c>
      <c r="L374" s="135">
        <v>461000324</v>
      </c>
      <c r="M374" s="151">
        <v>45474</v>
      </c>
      <c r="N374" s="152">
        <v>45474.135416666664</v>
      </c>
      <c r="O374" s="152">
        <v>45474.135416666664</v>
      </c>
      <c r="P374" s="152">
        <v>45474.138888888891</v>
      </c>
      <c r="Q374" s="152">
        <v>45474.3125</v>
      </c>
      <c r="R374" s="114" t="s">
        <v>118</v>
      </c>
      <c r="S374" s="114" t="s">
        <v>118</v>
      </c>
      <c r="T374" s="114">
        <v>45474.319444444445</v>
      </c>
      <c r="U374" s="114">
        <v>45474.38958333333</v>
      </c>
      <c r="V374" s="165">
        <f t="shared" si="216"/>
        <v>0.17708333333575865</v>
      </c>
      <c r="W374" s="165">
        <v>0.20833333333333334</v>
      </c>
      <c r="X374" s="165" t="str">
        <f t="shared" si="217"/>
        <v>00:00</v>
      </c>
      <c r="Y374" s="96">
        <v>1</v>
      </c>
      <c r="Z374" s="96">
        <v>57</v>
      </c>
      <c r="AA374" s="96">
        <f t="shared" si="198"/>
        <v>58</v>
      </c>
      <c r="AB374" s="97">
        <f t="shared" si="199"/>
        <v>67.694827586206898</v>
      </c>
      <c r="AC374" s="97">
        <f t="shared" si="200"/>
        <v>3858.6051724137933</v>
      </c>
      <c r="AD374" s="98">
        <v>3926.3</v>
      </c>
      <c r="AE374" s="98">
        <v>3972.5</v>
      </c>
      <c r="AF374" s="98">
        <v>3979.2</v>
      </c>
      <c r="AG374" s="98">
        <f t="shared" si="201"/>
        <v>52.899999999999636</v>
      </c>
      <c r="AH374" s="99">
        <v>672.5</v>
      </c>
      <c r="AI374" s="100">
        <f t="shared" si="202"/>
        <v>2676012</v>
      </c>
      <c r="AJ374" s="100">
        <f t="shared" si="225"/>
        <v>0</v>
      </c>
      <c r="AK374" s="100">
        <v>0</v>
      </c>
      <c r="AL374" s="100">
        <v>0</v>
      </c>
      <c r="AM374" s="100">
        <v>0</v>
      </c>
      <c r="AN374" s="100">
        <v>0</v>
      </c>
      <c r="AO374" s="100">
        <v>0</v>
      </c>
      <c r="AP374" s="100">
        <f t="shared" si="188"/>
        <v>133801</v>
      </c>
      <c r="AQ374" s="101">
        <f t="shared" si="215"/>
        <v>2809813</v>
      </c>
      <c r="AR374" s="101">
        <v>0</v>
      </c>
      <c r="AS374" s="101">
        <v>0</v>
      </c>
      <c r="AT374" s="102" t="s">
        <v>33</v>
      </c>
      <c r="AU374" s="109" t="s">
        <v>118</v>
      </c>
      <c r="AV374" s="100">
        <v>0</v>
      </c>
      <c r="AW374" s="105"/>
      <c r="AX374" s="106">
        <f t="shared" si="218"/>
        <v>1.3294129473260867</v>
      </c>
      <c r="AY374" s="101">
        <f t="shared" si="219"/>
        <v>35576</v>
      </c>
      <c r="AZ374" s="107"/>
      <c r="BA374" s="94">
        <v>45474.135416666664</v>
      </c>
      <c r="BB374" s="94">
        <v>45474.138888888891</v>
      </c>
      <c r="BC374" s="94">
        <v>45474.138888888891</v>
      </c>
      <c r="BD374" s="94">
        <v>45474.270138888889</v>
      </c>
      <c r="BE374" s="95">
        <f t="shared" si="220"/>
        <v>0.13472222222480923</v>
      </c>
      <c r="BF374" s="95">
        <v>0</v>
      </c>
      <c r="BG374" s="95">
        <v>1.3888888888888889E-3</v>
      </c>
      <c r="BH374" s="95">
        <f t="shared" si="221"/>
        <v>3.4722222262644209E-3</v>
      </c>
      <c r="BI374" s="95">
        <f t="shared" si="221"/>
        <v>0</v>
      </c>
      <c r="BJ374" s="95">
        <f t="shared" si="221"/>
        <v>0.13124999999854481</v>
      </c>
      <c r="BK374" s="95">
        <f t="shared" si="222"/>
        <v>0.13124999999854481</v>
      </c>
      <c r="BL374" s="95">
        <f t="shared" si="223"/>
        <v>0.12986111110965592</v>
      </c>
      <c r="BM374" s="95" t="str">
        <f t="shared" si="224"/>
        <v>00:00</v>
      </c>
      <c r="BN374" s="110"/>
    </row>
    <row r="375" spans="1:66" s="8" customFormat="1" ht="12.75" customHeight="1" x14ac:dyDescent="0.25">
      <c r="A375" s="150">
        <v>331</v>
      </c>
      <c r="B375" s="150">
        <v>2</v>
      </c>
      <c r="C375" s="90">
        <v>12</v>
      </c>
      <c r="D375" s="90" t="s">
        <v>148</v>
      </c>
      <c r="E375" s="91" t="s">
        <v>515</v>
      </c>
      <c r="F375" s="90" t="s">
        <v>16</v>
      </c>
      <c r="G375" s="90" t="s">
        <v>17</v>
      </c>
      <c r="H375" s="90" t="s">
        <v>150</v>
      </c>
      <c r="I375" s="135" t="s">
        <v>536</v>
      </c>
      <c r="J375" s="151">
        <v>45472</v>
      </c>
      <c r="K375" s="135" t="s">
        <v>122</v>
      </c>
      <c r="L375" s="135">
        <v>461000325</v>
      </c>
      <c r="M375" s="151">
        <v>45474</v>
      </c>
      <c r="N375" s="152">
        <v>45474.302083333336</v>
      </c>
      <c r="O375" s="152">
        <v>45474.302083333336</v>
      </c>
      <c r="P375" s="152">
        <v>45474.305555555555</v>
      </c>
      <c r="Q375" s="152">
        <v>45474.510416666664</v>
      </c>
      <c r="R375" s="114" t="s">
        <v>118</v>
      </c>
      <c r="S375" s="114" t="s">
        <v>118</v>
      </c>
      <c r="T375" s="114">
        <v>45474.520833333336</v>
      </c>
      <c r="U375" s="114">
        <v>45474.613194444442</v>
      </c>
      <c r="V375" s="165">
        <f t="shared" si="216"/>
        <v>0.20833333332848269</v>
      </c>
      <c r="W375" s="165">
        <v>0.20833333333333334</v>
      </c>
      <c r="X375" s="165" t="str">
        <f t="shared" si="217"/>
        <v>00:00</v>
      </c>
      <c r="Y375" s="96">
        <v>0</v>
      </c>
      <c r="Z375" s="96">
        <v>58</v>
      </c>
      <c r="AA375" s="96">
        <f t="shared" si="198"/>
        <v>58</v>
      </c>
      <c r="AB375" s="97">
        <f t="shared" si="199"/>
        <v>0</v>
      </c>
      <c r="AC375" s="97">
        <f t="shared" si="200"/>
        <v>3905.4799999999996</v>
      </c>
      <c r="AD375" s="98">
        <v>3905.48</v>
      </c>
      <c r="AE375" s="98">
        <v>3981.1</v>
      </c>
      <c r="AF375" s="98">
        <v>3983</v>
      </c>
      <c r="AG375" s="98">
        <f t="shared" si="201"/>
        <v>77.519999999999982</v>
      </c>
      <c r="AH375" s="99">
        <v>672.5</v>
      </c>
      <c r="AI375" s="100">
        <f t="shared" si="202"/>
        <v>2678567.5</v>
      </c>
      <c r="AJ375" s="100">
        <f t="shared" si="225"/>
        <v>0</v>
      </c>
      <c r="AK375" s="100">
        <v>0</v>
      </c>
      <c r="AL375" s="100">
        <v>0</v>
      </c>
      <c r="AM375" s="100">
        <v>0</v>
      </c>
      <c r="AN375" s="100">
        <v>0</v>
      </c>
      <c r="AO375" s="100">
        <v>0</v>
      </c>
      <c r="AP375" s="100">
        <f t="shared" si="188"/>
        <v>133929</v>
      </c>
      <c r="AQ375" s="101">
        <f t="shared" si="215"/>
        <v>2812497</v>
      </c>
      <c r="AR375" s="101">
        <v>0</v>
      </c>
      <c r="AS375" s="101">
        <v>0</v>
      </c>
      <c r="AT375" s="102" t="s">
        <v>33</v>
      </c>
      <c r="AU375" s="109" t="s">
        <v>118</v>
      </c>
      <c r="AV375" s="100">
        <v>0</v>
      </c>
      <c r="AW375" s="105"/>
      <c r="AX375" s="106">
        <f t="shared" si="218"/>
        <v>1.9462716545317595</v>
      </c>
      <c r="AY375" s="101">
        <f t="shared" si="219"/>
        <v>52133</v>
      </c>
      <c r="AZ375" s="107"/>
      <c r="BA375" s="94">
        <v>45474.302083333336</v>
      </c>
      <c r="BB375" s="94">
        <v>45474.305555555555</v>
      </c>
      <c r="BC375" s="94">
        <v>45474.305555555555</v>
      </c>
      <c r="BD375" s="94">
        <v>45474.4375</v>
      </c>
      <c r="BE375" s="95">
        <f t="shared" si="220"/>
        <v>0.13541666666424135</v>
      </c>
      <c r="BF375" s="95">
        <v>0</v>
      </c>
      <c r="BG375" s="95">
        <v>0</v>
      </c>
      <c r="BH375" s="95">
        <f t="shared" si="221"/>
        <v>3.4722222189884633E-3</v>
      </c>
      <c r="BI375" s="95">
        <f t="shared" si="221"/>
        <v>0</v>
      </c>
      <c r="BJ375" s="95">
        <f t="shared" si="221"/>
        <v>0.13194444444525288</v>
      </c>
      <c r="BK375" s="95">
        <f t="shared" si="222"/>
        <v>0.13194444444525288</v>
      </c>
      <c r="BL375" s="95">
        <f t="shared" si="223"/>
        <v>0.13194444444525288</v>
      </c>
      <c r="BM375" s="95" t="str">
        <f t="shared" si="224"/>
        <v>00:00</v>
      </c>
      <c r="BN375" s="110"/>
    </row>
    <row r="376" spans="1:66" s="8" customFormat="1" ht="12.75" customHeight="1" x14ac:dyDescent="0.25">
      <c r="A376" s="150">
        <v>332</v>
      </c>
      <c r="B376" s="150">
        <v>3</v>
      </c>
      <c r="C376" s="90">
        <v>13</v>
      </c>
      <c r="D376" s="90" t="s">
        <v>148</v>
      </c>
      <c r="E376" s="91" t="s">
        <v>515</v>
      </c>
      <c r="F376" s="90" t="s">
        <v>16</v>
      </c>
      <c r="G376" s="90" t="s">
        <v>17</v>
      </c>
      <c r="H376" s="90" t="s">
        <v>150</v>
      </c>
      <c r="I376" s="135" t="s">
        <v>537</v>
      </c>
      <c r="J376" s="151">
        <v>45472</v>
      </c>
      <c r="K376" s="135" t="s">
        <v>117</v>
      </c>
      <c r="L376" s="135">
        <v>461000326</v>
      </c>
      <c r="M376" s="151">
        <v>45474</v>
      </c>
      <c r="N376" s="152">
        <v>45474.447916666664</v>
      </c>
      <c r="O376" s="152">
        <v>45474.447916666664</v>
      </c>
      <c r="P376" s="152">
        <v>45474.454861111109</v>
      </c>
      <c r="Q376" s="152">
        <v>45474.625</v>
      </c>
      <c r="R376" s="114" t="s">
        <v>118</v>
      </c>
      <c r="S376" s="114" t="s">
        <v>118</v>
      </c>
      <c r="T376" s="114">
        <v>45474.645833333336</v>
      </c>
      <c r="U376" s="114">
        <v>45474.702777777777</v>
      </c>
      <c r="V376" s="165">
        <f t="shared" si="216"/>
        <v>0.17708333333575865</v>
      </c>
      <c r="W376" s="165">
        <v>0.20833333333333334</v>
      </c>
      <c r="X376" s="165" t="str">
        <f t="shared" si="217"/>
        <v>00:00</v>
      </c>
      <c r="Y376" s="96">
        <v>0</v>
      </c>
      <c r="Z376" s="96">
        <v>58</v>
      </c>
      <c r="AA376" s="96">
        <f t="shared" si="198"/>
        <v>58</v>
      </c>
      <c r="AB376" s="97">
        <f t="shared" si="199"/>
        <v>0</v>
      </c>
      <c r="AC376" s="97">
        <f t="shared" si="200"/>
        <v>3977.6799999999994</v>
      </c>
      <c r="AD376" s="98">
        <v>3977.68</v>
      </c>
      <c r="AE376" s="98">
        <v>3990.4</v>
      </c>
      <c r="AF376" s="98">
        <v>4000.6</v>
      </c>
      <c r="AG376" s="98">
        <f t="shared" si="201"/>
        <v>22.920000000000073</v>
      </c>
      <c r="AH376" s="99">
        <v>672.5</v>
      </c>
      <c r="AI376" s="100">
        <f t="shared" si="202"/>
        <v>2690403.5</v>
      </c>
      <c r="AJ376" s="100">
        <f t="shared" si="225"/>
        <v>0</v>
      </c>
      <c r="AK376" s="100">
        <v>0</v>
      </c>
      <c r="AL376" s="100">
        <v>0</v>
      </c>
      <c r="AM376" s="100">
        <v>0</v>
      </c>
      <c r="AN376" s="100">
        <v>0</v>
      </c>
      <c r="AO376" s="100">
        <v>0</v>
      </c>
      <c r="AP376" s="100">
        <f t="shared" si="188"/>
        <v>134521</v>
      </c>
      <c r="AQ376" s="101">
        <f t="shared" si="215"/>
        <v>2824925</v>
      </c>
      <c r="AR376" s="101">
        <v>0</v>
      </c>
      <c r="AS376" s="101">
        <v>0</v>
      </c>
      <c r="AT376" s="102" t="s">
        <v>33</v>
      </c>
      <c r="AU376" s="109" t="s">
        <v>118</v>
      </c>
      <c r="AV376" s="100">
        <v>0</v>
      </c>
      <c r="AW376" s="105"/>
      <c r="AX376" s="106">
        <f t="shared" si="218"/>
        <v>0.57291406289056823</v>
      </c>
      <c r="AY376" s="101">
        <f t="shared" si="219"/>
        <v>15414</v>
      </c>
      <c r="AZ376" s="107"/>
      <c r="BA376" s="94">
        <v>45474.447916666664</v>
      </c>
      <c r="BB376" s="94">
        <v>45474.454861111109</v>
      </c>
      <c r="BC376" s="94">
        <v>45474.465277777781</v>
      </c>
      <c r="BD376" s="94">
        <v>45474.595833333333</v>
      </c>
      <c r="BE376" s="95">
        <f t="shared" si="220"/>
        <v>0.14791666666860692</v>
      </c>
      <c r="BF376" s="95">
        <v>1.6666666666666666E-2</v>
      </c>
      <c r="BG376" s="95">
        <v>0</v>
      </c>
      <c r="BH376" s="95">
        <f t="shared" si="221"/>
        <v>6.9444444452528842E-3</v>
      </c>
      <c r="BI376" s="95">
        <f t="shared" si="221"/>
        <v>1.0416666671517305E-2</v>
      </c>
      <c r="BJ376" s="95">
        <f t="shared" si="221"/>
        <v>0.13055555555183673</v>
      </c>
      <c r="BK376" s="95">
        <f t="shared" si="222"/>
        <v>0.14097222222335404</v>
      </c>
      <c r="BL376" s="95">
        <f t="shared" si="223"/>
        <v>0.12430555555668737</v>
      </c>
      <c r="BM376" s="95" t="str">
        <f t="shared" si="224"/>
        <v>00:00</v>
      </c>
      <c r="BN376" s="110"/>
    </row>
    <row r="377" spans="1:66" s="8" customFormat="1" ht="12.75" customHeight="1" x14ac:dyDescent="0.25">
      <c r="A377" s="150">
        <v>333</v>
      </c>
      <c r="B377" s="150">
        <v>4</v>
      </c>
      <c r="C377" s="90">
        <v>2</v>
      </c>
      <c r="D377" s="90" t="s">
        <v>113</v>
      </c>
      <c r="E377" s="91" t="s">
        <v>530</v>
      </c>
      <c r="F377" s="90" t="s">
        <v>29</v>
      </c>
      <c r="G377" s="90" t="s">
        <v>15</v>
      </c>
      <c r="H377" s="90" t="s">
        <v>124</v>
      </c>
      <c r="I377" s="135" t="s">
        <v>538</v>
      </c>
      <c r="J377" s="151">
        <v>45473</v>
      </c>
      <c r="K377" s="135" t="s">
        <v>122</v>
      </c>
      <c r="L377" s="135">
        <v>261005806</v>
      </c>
      <c r="M377" s="151">
        <v>45475</v>
      </c>
      <c r="N377" s="152">
        <v>45474.6875</v>
      </c>
      <c r="O377" s="152">
        <v>45474.6875</v>
      </c>
      <c r="P377" s="152">
        <v>45474.697916666664</v>
      </c>
      <c r="Q377" s="152">
        <v>45474.895833333336</v>
      </c>
      <c r="R377" s="114" t="s">
        <v>118</v>
      </c>
      <c r="S377" s="114" t="s">
        <v>118</v>
      </c>
      <c r="T377" s="114">
        <v>45474.927083333336</v>
      </c>
      <c r="U377" s="114">
        <v>45475.022222222222</v>
      </c>
      <c r="V377" s="165">
        <f t="shared" si="216"/>
        <v>0.20833333333575865</v>
      </c>
      <c r="W377" s="165">
        <v>0.20833333333333334</v>
      </c>
      <c r="X377" s="165">
        <f t="shared" si="217"/>
        <v>2.4253099528692701E-12</v>
      </c>
      <c r="Y377" s="96">
        <v>1</v>
      </c>
      <c r="Z377" s="96">
        <v>57</v>
      </c>
      <c r="AA377" s="96">
        <f t="shared" si="198"/>
        <v>58</v>
      </c>
      <c r="AB377" s="97">
        <f t="shared" si="199"/>
        <v>67.759482758620692</v>
      </c>
      <c r="AC377" s="97">
        <f t="shared" si="200"/>
        <v>3862.2905172413793</v>
      </c>
      <c r="AD377" s="98">
        <v>3930.05</v>
      </c>
      <c r="AE377" s="98">
        <v>3966.6</v>
      </c>
      <c r="AF377" s="98">
        <v>3981.6</v>
      </c>
      <c r="AG377" s="98">
        <f t="shared" si="201"/>
        <v>51.549999999999727</v>
      </c>
      <c r="AH377" s="99">
        <v>797.2</v>
      </c>
      <c r="AI377" s="100">
        <f t="shared" si="202"/>
        <v>3174131.52</v>
      </c>
      <c r="AJ377" s="100">
        <f>(2.6*AH377)*2</f>
        <v>4145.4400000000005</v>
      </c>
      <c r="AK377" s="100">
        <v>0</v>
      </c>
      <c r="AL377" s="100">
        <v>0</v>
      </c>
      <c r="AM377" s="100">
        <v>0</v>
      </c>
      <c r="AN377" s="100">
        <v>0</v>
      </c>
      <c r="AO377" s="100">
        <v>0</v>
      </c>
      <c r="AP377" s="100">
        <f t="shared" si="188"/>
        <v>158914</v>
      </c>
      <c r="AQ377" s="101">
        <f t="shared" si="215"/>
        <v>3337191</v>
      </c>
      <c r="AR377" s="101">
        <v>0</v>
      </c>
      <c r="AS377" s="101">
        <v>0</v>
      </c>
      <c r="AT377" s="102" t="s">
        <v>33</v>
      </c>
      <c r="AU377" s="109" t="s">
        <v>118</v>
      </c>
      <c r="AV377" s="100">
        <v>0</v>
      </c>
      <c r="AW377" s="105"/>
      <c r="AX377" s="106">
        <f t="shared" si="218"/>
        <v>1.2947056459714619</v>
      </c>
      <c r="AY377" s="101">
        <f t="shared" si="219"/>
        <v>41096</v>
      </c>
      <c r="AZ377" s="107"/>
      <c r="BA377" s="94">
        <v>45474.6875</v>
      </c>
      <c r="BB377" s="94">
        <v>45474.697916666664</v>
      </c>
      <c r="BC377" s="94">
        <v>45474.716666666667</v>
      </c>
      <c r="BD377" s="94">
        <v>45474.90902777778</v>
      </c>
      <c r="BE377" s="95">
        <f t="shared" si="220"/>
        <v>0.22152777777955635</v>
      </c>
      <c r="BF377" s="95">
        <v>4.791666666666667E-2</v>
      </c>
      <c r="BG377" s="95">
        <v>5.9027777777777776E-2</v>
      </c>
      <c r="BH377" s="95">
        <f t="shared" si="221"/>
        <v>1.0416666664241347E-2</v>
      </c>
      <c r="BI377" s="95">
        <f t="shared" si="221"/>
        <v>1.8750000002910383E-2</v>
      </c>
      <c r="BJ377" s="95">
        <f t="shared" si="221"/>
        <v>0.19236111111240461</v>
      </c>
      <c r="BK377" s="95">
        <f t="shared" si="222"/>
        <v>0.211111111115315</v>
      </c>
      <c r="BL377" s="95">
        <f t="shared" si="223"/>
        <v>0.10416666667087056</v>
      </c>
      <c r="BM377" s="95">
        <f t="shared" si="224"/>
        <v>1.3194444446223003E-2</v>
      </c>
      <c r="BN377" s="110"/>
    </row>
    <row r="378" spans="1:66" s="8" customFormat="1" ht="12.75" customHeight="1" x14ac:dyDescent="0.25">
      <c r="A378" s="150">
        <v>334</v>
      </c>
      <c r="B378" s="150">
        <v>5</v>
      </c>
      <c r="C378" s="90">
        <v>3</v>
      </c>
      <c r="D378" s="90" t="s">
        <v>113</v>
      </c>
      <c r="E378" s="91" t="s">
        <v>483</v>
      </c>
      <c r="F378" s="90" t="s">
        <v>32</v>
      </c>
      <c r="G378" s="90" t="s">
        <v>15</v>
      </c>
      <c r="H378" s="90" t="s">
        <v>146</v>
      </c>
      <c r="I378" s="135" t="s">
        <v>539</v>
      </c>
      <c r="J378" s="151">
        <v>45474</v>
      </c>
      <c r="K378" s="135" t="s">
        <v>117</v>
      </c>
      <c r="L378" s="135">
        <v>261005809</v>
      </c>
      <c r="M378" s="151">
        <v>45475</v>
      </c>
      <c r="N378" s="152">
        <v>45475.208333333336</v>
      </c>
      <c r="O378" s="152">
        <v>45475.208333333336</v>
      </c>
      <c r="P378" s="152">
        <v>45475.225694444445</v>
      </c>
      <c r="Q378" s="152">
        <v>45475.416666666664</v>
      </c>
      <c r="R378" s="114" t="s">
        <v>118</v>
      </c>
      <c r="S378" s="114" t="s">
        <v>118</v>
      </c>
      <c r="T378" s="114">
        <v>45475.430555555555</v>
      </c>
      <c r="U378" s="114">
        <v>45475.476388888892</v>
      </c>
      <c r="V378" s="165">
        <f t="shared" si="216"/>
        <v>0.20833333332848269</v>
      </c>
      <c r="W378" s="165">
        <v>0.20833333333333334</v>
      </c>
      <c r="X378" s="165" t="str">
        <f t="shared" si="217"/>
        <v>00:00</v>
      </c>
      <c r="Y378" s="96">
        <v>1</v>
      </c>
      <c r="Z378" s="96">
        <v>57</v>
      </c>
      <c r="AA378" s="96">
        <f t="shared" si="198"/>
        <v>58</v>
      </c>
      <c r="AB378" s="97">
        <f t="shared" si="199"/>
        <v>68.364999999999995</v>
      </c>
      <c r="AC378" s="97">
        <f t="shared" si="200"/>
        <v>3896.8049999999998</v>
      </c>
      <c r="AD378" s="98">
        <v>3965.17</v>
      </c>
      <c r="AE378" s="98">
        <v>3978.8</v>
      </c>
      <c r="AF378" s="98">
        <v>3994</v>
      </c>
      <c r="AG378" s="98">
        <f t="shared" si="201"/>
        <v>28.829999999999927</v>
      </c>
      <c r="AH378" s="99">
        <v>1398.7</v>
      </c>
      <c r="AI378" s="100">
        <f t="shared" si="202"/>
        <v>5586407.7999999998</v>
      </c>
      <c r="AJ378" s="100">
        <f>(2.6*AH378)*2</f>
        <v>7273.2400000000007</v>
      </c>
      <c r="AK378" s="100">
        <v>0</v>
      </c>
      <c r="AL378" s="100">
        <v>0</v>
      </c>
      <c r="AM378" s="100">
        <v>0</v>
      </c>
      <c r="AN378" s="100">
        <v>0</v>
      </c>
      <c r="AO378" s="100">
        <v>0</v>
      </c>
      <c r="AP378" s="100">
        <f t="shared" si="188"/>
        <v>279685</v>
      </c>
      <c r="AQ378" s="101">
        <f t="shared" si="215"/>
        <v>5873367</v>
      </c>
      <c r="AR378" s="101">
        <v>0</v>
      </c>
      <c r="AS378" s="101">
        <v>0</v>
      </c>
      <c r="AT378" s="102" t="s">
        <v>33</v>
      </c>
      <c r="AU378" s="109" t="s">
        <v>118</v>
      </c>
      <c r="AV378" s="100">
        <v>0</v>
      </c>
      <c r="AW378" s="105"/>
      <c r="AX378" s="106">
        <f t="shared" si="218"/>
        <v>0.72183274912368367</v>
      </c>
      <c r="AY378" s="101">
        <f t="shared" si="219"/>
        <v>40325</v>
      </c>
      <c r="AZ378" s="107"/>
      <c r="BA378" s="94">
        <v>45475.208333333336</v>
      </c>
      <c r="BB378" s="94">
        <v>45475.225694444445</v>
      </c>
      <c r="BC378" s="94">
        <v>45475.225694444445</v>
      </c>
      <c r="BD378" s="94">
        <v>45475.393750000003</v>
      </c>
      <c r="BE378" s="95">
        <f t="shared" si="220"/>
        <v>0.18541666666715173</v>
      </c>
      <c r="BF378" s="95">
        <v>0</v>
      </c>
      <c r="BG378" s="95">
        <v>6.25E-2</v>
      </c>
      <c r="BH378" s="95">
        <f t="shared" si="221"/>
        <v>1.7361111109494232E-2</v>
      </c>
      <c r="BI378" s="95">
        <f t="shared" si="221"/>
        <v>0</v>
      </c>
      <c r="BJ378" s="95">
        <f t="shared" si="221"/>
        <v>0.1680555555576575</v>
      </c>
      <c r="BK378" s="95">
        <f t="shared" si="222"/>
        <v>0.1680555555576575</v>
      </c>
      <c r="BL378" s="95">
        <f t="shared" si="223"/>
        <v>0.1055555555576575</v>
      </c>
      <c r="BM378" s="95" t="str">
        <f t="shared" si="224"/>
        <v>00:00</v>
      </c>
      <c r="BN378" s="110"/>
    </row>
    <row r="379" spans="1:66" s="8" customFormat="1" ht="12.75" customHeight="1" x14ac:dyDescent="0.25">
      <c r="A379" s="150">
        <v>335</v>
      </c>
      <c r="B379" s="150">
        <v>6</v>
      </c>
      <c r="C379" s="90">
        <v>14</v>
      </c>
      <c r="D379" s="90" t="s">
        <v>148</v>
      </c>
      <c r="E379" s="91" t="s">
        <v>515</v>
      </c>
      <c r="F379" s="90" t="s">
        <v>16</v>
      </c>
      <c r="G379" s="90" t="s">
        <v>17</v>
      </c>
      <c r="H379" s="90" t="s">
        <v>150</v>
      </c>
      <c r="I379" s="135" t="s">
        <v>540</v>
      </c>
      <c r="J379" s="151">
        <v>45472</v>
      </c>
      <c r="K379" s="135" t="s">
        <v>122</v>
      </c>
      <c r="L379" s="135">
        <v>461000327</v>
      </c>
      <c r="M379" s="151">
        <v>45475</v>
      </c>
      <c r="N379" s="152">
        <v>45475.333333333336</v>
      </c>
      <c r="O379" s="152">
        <v>45475.333333333336</v>
      </c>
      <c r="P379" s="152">
        <v>45475.336805555555</v>
      </c>
      <c r="Q379" s="152">
        <v>45475.541666666664</v>
      </c>
      <c r="R379" s="114" t="s">
        <v>118</v>
      </c>
      <c r="S379" s="114">
        <v>45475.583333333336</v>
      </c>
      <c r="T379" s="114">
        <v>45475.597222222219</v>
      </c>
      <c r="U379" s="114">
        <v>45475.666666666664</v>
      </c>
      <c r="V379" s="165">
        <f t="shared" si="216"/>
        <v>0.20833333332848269</v>
      </c>
      <c r="W379" s="165">
        <v>0.20833333333333334</v>
      </c>
      <c r="X379" s="165" t="str">
        <f t="shared" si="217"/>
        <v>00:00</v>
      </c>
      <c r="Y379" s="96">
        <v>0</v>
      </c>
      <c r="Z379" s="96">
        <v>58</v>
      </c>
      <c r="AA379" s="96">
        <f t="shared" si="198"/>
        <v>58</v>
      </c>
      <c r="AB379" s="97">
        <f t="shared" si="199"/>
        <v>0</v>
      </c>
      <c r="AC379" s="97">
        <f t="shared" si="200"/>
        <v>3981.2600000000007</v>
      </c>
      <c r="AD379" s="98">
        <v>3981.26</v>
      </c>
      <c r="AE379" s="98">
        <v>3991.2</v>
      </c>
      <c r="AF379" s="98">
        <v>4012</v>
      </c>
      <c r="AG379" s="98">
        <f t="shared" si="201"/>
        <v>30.739999999999782</v>
      </c>
      <c r="AH379" s="99">
        <v>672.5</v>
      </c>
      <c r="AI379" s="100">
        <f t="shared" si="202"/>
        <v>2698070</v>
      </c>
      <c r="AJ379" s="100">
        <f>(2.2*AH379)*2</f>
        <v>2959.0000000000005</v>
      </c>
      <c r="AK379" s="100">
        <v>0</v>
      </c>
      <c r="AL379" s="100">
        <v>0</v>
      </c>
      <c r="AM379" s="100">
        <v>0</v>
      </c>
      <c r="AN379" s="100">
        <v>0</v>
      </c>
      <c r="AO379" s="100">
        <v>0</v>
      </c>
      <c r="AP379" s="100">
        <f t="shared" si="188"/>
        <v>135052</v>
      </c>
      <c r="AQ379" s="101">
        <f t="shared" si="215"/>
        <v>2836081</v>
      </c>
      <c r="AR379" s="101">
        <v>0</v>
      </c>
      <c r="AS379" s="101">
        <v>0</v>
      </c>
      <c r="AT379" s="102" t="s">
        <v>33</v>
      </c>
      <c r="AU379" s="109" t="s">
        <v>118</v>
      </c>
      <c r="AV379" s="100">
        <v>0</v>
      </c>
      <c r="AW379" s="105"/>
      <c r="AX379" s="106">
        <f t="shared" si="218"/>
        <v>0.76620139581255686</v>
      </c>
      <c r="AY379" s="101">
        <f t="shared" si="219"/>
        <v>20673</v>
      </c>
      <c r="AZ379" s="107"/>
      <c r="BA379" s="94">
        <v>45475.333333333336</v>
      </c>
      <c r="BB379" s="94">
        <v>45475.336805555555</v>
      </c>
      <c r="BC379" s="94">
        <v>45475.432638888888</v>
      </c>
      <c r="BD379" s="94">
        <v>45475.568749999999</v>
      </c>
      <c r="BE379" s="95">
        <f t="shared" si="220"/>
        <v>0.23541666666278616</v>
      </c>
      <c r="BF379" s="95">
        <v>4.6527777777777779E-2</v>
      </c>
      <c r="BG379" s="95">
        <v>6.3888888888888884E-2</v>
      </c>
      <c r="BH379" s="95">
        <f t="shared" si="221"/>
        <v>3.4722222189884633E-3</v>
      </c>
      <c r="BI379" s="95">
        <f t="shared" si="221"/>
        <v>9.5833333332848269E-2</v>
      </c>
      <c r="BJ379" s="95">
        <f t="shared" si="221"/>
        <v>0.13611111111094942</v>
      </c>
      <c r="BK379" s="95">
        <f t="shared" si="222"/>
        <v>0.23194444444379769</v>
      </c>
      <c r="BL379" s="95">
        <f t="shared" si="223"/>
        <v>0.12152777777713103</v>
      </c>
      <c r="BM379" s="95">
        <f t="shared" si="224"/>
        <v>2.7083333329452813E-2</v>
      </c>
      <c r="BN379" s="110"/>
    </row>
    <row r="380" spans="1:66" s="8" customFormat="1" ht="12.75" customHeight="1" x14ac:dyDescent="0.25">
      <c r="A380" s="153">
        <v>336</v>
      </c>
      <c r="B380" s="150">
        <v>7</v>
      </c>
      <c r="C380" s="90">
        <v>3</v>
      </c>
      <c r="D380" s="90" t="s">
        <v>113</v>
      </c>
      <c r="E380" s="91" t="s">
        <v>530</v>
      </c>
      <c r="F380" s="90" t="s">
        <v>29</v>
      </c>
      <c r="G380" s="90" t="s">
        <v>15</v>
      </c>
      <c r="H380" s="90" t="s">
        <v>124</v>
      </c>
      <c r="I380" s="135" t="s">
        <v>541</v>
      </c>
      <c r="J380" s="151">
        <v>45475</v>
      </c>
      <c r="K380" s="135" t="s">
        <v>117</v>
      </c>
      <c r="L380" s="135">
        <v>461000328</v>
      </c>
      <c r="M380" s="151">
        <v>45475</v>
      </c>
      <c r="N380" s="152">
        <v>45475.5</v>
      </c>
      <c r="O380" s="152">
        <v>45475.5</v>
      </c>
      <c r="P380" s="152">
        <v>45475.503472222219</v>
      </c>
      <c r="Q380" s="152">
        <v>45475.708333333336</v>
      </c>
      <c r="R380" s="114" t="s">
        <v>118</v>
      </c>
      <c r="S380" s="114">
        <v>45475.791666666664</v>
      </c>
      <c r="T380" s="114">
        <v>45475.8125</v>
      </c>
      <c r="U380" s="114">
        <v>45475.872916666667</v>
      </c>
      <c r="V380" s="165">
        <f t="shared" si="216"/>
        <v>0.20833333333575865</v>
      </c>
      <c r="W380" s="165">
        <v>0.20833333333333334</v>
      </c>
      <c r="X380" s="165">
        <f t="shared" si="217"/>
        <v>2.4253099528692701E-12</v>
      </c>
      <c r="Y380" s="96">
        <v>0</v>
      </c>
      <c r="Z380" s="96">
        <v>59</v>
      </c>
      <c r="AA380" s="96">
        <f t="shared" si="198"/>
        <v>59</v>
      </c>
      <c r="AB380" s="97">
        <f t="shared" si="199"/>
        <v>0</v>
      </c>
      <c r="AC380" s="97">
        <f t="shared" si="200"/>
        <v>3985.69</v>
      </c>
      <c r="AD380" s="98">
        <v>3985.69</v>
      </c>
      <c r="AE380" s="98">
        <v>4046.9</v>
      </c>
      <c r="AF380" s="98">
        <v>4061</v>
      </c>
      <c r="AG380" s="98">
        <f t="shared" si="201"/>
        <v>75.309999999999945</v>
      </c>
      <c r="AH380" s="99">
        <v>797.2</v>
      </c>
      <c r="AI380" s="100">
        <f t="shared" si="202"/>
        <v>3237429.2</v>
      </c>
      <c r="AJ380" s="100">
        <f>(2.2*AH380)*2</f>
        <v>3507.6800000000003</v>
      </c>
      <c r="AK380" s="100">
        <v>0</v>
      </c>
      <c r="AL380" s="100">
        <v>0</v>
      </c>
      <c r="AM380" s="100">
        <v>0</v>
      </c>
      <c r="AN380" s="100">
        <v>0</v>
      </c>
      <c r="AO380" s="100">
        <v>0</v>
      </c>
      <c r="AP380" s="100">
        <f t="shared" si="188"/>
        <v>162047</v>
      </c>
      <c r="AQ380" s="101">
        <f t="shared" si="215"/>
        <v>3402984</v>
      </c>
      <c r="AR380" s="101">
        <v>0</v>
      </c>
      <c r="AS380" s="101">
        <v>0</v>
      </c>
      <c r="AT380" s="102" t="s">
        <v>33</v>
      </c>
      <c r="AU380" s="109" t="s">
        <v>118</v>
      </c>
      <c r="AV380" s="100">
        <v>0</v>
      </c>
      <c r="AW380" s="105"/>
      <c r="AX380" s="106">
        <f t="shared" si="218"/>
        <v>1.85446934252647</v>
      </c>
      <c r="AY380" s="101">
        <f t="shared" si="219"/>
        <v>60038</v>
      </c>
      <c r="AZ380" s="107"/>
      <c r="BA380" s="94">
        <v>45475.5</v>
      </c>
      <c r="BB380" s="94">
        <v>45475.503472222219</v>
      </c>
      <c r="BC380" s="94">
        <v>45475.623611111114</v>
      </c>
      <c r="BD380" s="94">
        <v>45475.804166666669</v>
      </c>
      <c r="BE380" s="95">
        <f t="shared" si="220"/>
        <v>0.30416666666860692</v>
      </c>
      <c r="BF380" s="95">
        <v>2.2222222222222223E-2</v>
      </c>
      <c r="BG380" s="95">
        <v>0.16319444444444445</v>
      </c>
      <c r="BH380" s="95">
        <f t="shared" si="221"/>
        <v>3.4722222189884633E-3</v>
      </c>
      <c r="BI380" s="95">
        <f t="shared" si="221"/>
        <v>0.12013888889487134</v>
      </c>
      <c r="BJ380" s="95">
        <f t="shared" si="221"/>
        <v>0.18055555555474712</v>
      </c>
      <c r="BK380" s="95">
        <f t="shared" si="222"/>
        <v>0.30069444444961846</v>
      </c>
      <c r="BL380" s="95">
        <f t="shared" si="223"/>
        <v>0.11527777778295181</v>
      </c>
      <c r="BM380" s="95">
        <f t="shared" si="224"/>
        <v>9.5833333335273579E-2</v>
      </c>
      <c r="BN380" s="110"/>
    </row>
    <row r="381" spans="1:66" s="8" customFormat="1" ht="12.75" customHeight="1" x14ac:dyDescent="0.25">
      <c r="A381" s="154">
        <v>337</v>
      </c>
      <c r="B381" s="154">
        <v>8</v>
      </c>
      <c r="C381" s="154">
        <v>1</v>
      </c>
      <c r="D381" s="154" t="s">
        <v>148</v>
      </c>
      <c r="E381" s="91" t="s">
        <v>515</v>
      </c>
      <c r="F381" s="154" t="s">
        <v>16</v>
      </c>
      <c r="G381" s="154" t="s">
        <v>17</v>
      </c>
      <c r="H381" s="154" t="s">
        <v>150</v>
      </c>
      <c r="I381" s="182" t="s">
        <v>542</v>
      </c>
      <c r="J381" s="183">
        <v>45474</v>
      </c>
      <c r="K381" s="182" t="s">
        <v>122</v>
      </c>
      <c r="L381" s="182">
        <v>461000329</v>
      </c>
      <c r="M381" s="183">
        <v>45476</v>
      </c>
      <c r="N381" s="184">
        <v>45475.729166666664</v>
      </c>
      <c r="O381" s="184">
        <v>45475.729166666664</v>
      </c>
      <c r="P381" s="184">
        <v>45475.732638888891</v>
      </c>
      <c r="Q381" s="184">
        <v>45475.9375</v>
      </c>
      <c r="R381" s="184" t="s">
        <v>118</v>
      </c>
      <c r="S381" s="184">
        <v>45476.020833333336</v>
      </c>
      <c r="T381" s="184">
        <v>45476.041666666664</v>
      </c>
      <c r="U381" s="184">
        <v>45476.09097222222</v>
      </c>
      <c r="V381" s="185">
        <f t="shared" si="216"/>
        <v>0.20833333333575865</v>
      </c>
      <c r="W381" s="185">
        <v>0.20833333333333334</v>
      </c>
      <c r="X381" s="185">
        <f t="shared" si="217"/>
        <v>2.4253099528692701E-12</v>
      </c>
      <c r="Y381" s="96">
        <v>0</v>
      </c>
      <c r="Z381" s="96">
        <v>41</v>
      </c>
      <c r="AA381" s="96">
        <f t="shared" si="198"/>
        <v>41</v>
      </c>
      <c r="AB381" s="97">
        <f t="shared" si="199"/>
        <v>0</v>
      </c>
      <c r="AC381" s="97">
        <f t="shared" si="200"/>
        <v>2780.91</v>
      </c>
      <c r="AD381" s="98">
        <f>3968.27-1187.36</f>
        <v>2780.91</v>
      </c>
      <c r="AE381" s="98">
        <f>4040.8-1232.8</f>
        <v>2808</v>
      </c>
      <c r="AF381" s="98">
        <f>4045.4-1234.39</f>
        <v>2811.01</v>
      </c>
      <c r="AG381" s="98">
        <f t="shared" si="201"/>
        <v>30.100000000000364</v>
      </c>
      <c r="AH381" s="99">
        <v>672.5</v>
      </c>
      <c r="AI381" s="100">
        <f t="shared" si="202"/>
        <v>1890404.2250000001</v>
      </c>
      <c r="AJ381" s="100">
        <f>(0*AH381)*2</f>
        <v>0</v>
      </c>
      <c r="AK381" s="100">
        <v>0</v>
      </c>
      <c r="AL381" s="100">
        <v>0</v>
      </c>
      <c r="AM381" s="100">
        <v>0</v>
      </c>
      <c r="AN381" s="100">
        <v>0</v>
      </c>
      <c r="AO381" s="100">
        <v>0</v>
      </c>
      <c r="AP381" s="100">
        <f>ROUNDUP(SUM(AI381:AO381)*5%,0)-1</f>
        <v>94520</v>
      </c>
      <c r="AQ381" s="101">
        <f>ROUNDUP(SUM(AI381:AP381),0)-1</f>
        <v>1984924</v>
      </c>
      <c r="AR381" s="101">
        <v>0</v>
      </c>
      <c r="AS381" s="101">
        <v>0</v>
      </c>
      <c r="AT381" s="102" t="s">
        <v>33</v>
      </c>
      <c r="AU381" s="120" t="s">
        <v>118</v>
      </c>
      <c r="AV381" s="177">
        <v>0</v>
      </c>
      <c r="AW381" s="105"/>
      <c r="AX381" s="140">
        <f>IFERROR(((AG381+AG382)/(AF381+AF382))*100, "")</f>
        <v>1.9066099767637452</v>
      </c>
      <c r="AY381" s="141">
        <f>ROUNDUP((AG381+AG382)*AH381,0)</f>
        <v>51870</v>
      </c>
      <c r="AZ381" s="107"/>
      <c r="BA381" s="118">
        <v>45475.729166666664</v>
      </c>
      <c r="BB381" s="118">
        <v>45475.732638888891</v>
      </c>
      <c r="BC381" s="118">
        <v>45475.833333333336</v>
      </c>
      <c r="BD381" s="118">
        <v>45476.013888888891</v>
      </c>
      <c r="BE381" s="119">
        <f t="shared" si="220"/>
        <v>0.28472222222626442</v>
      </c>
      <c r="BF381" s="119">
        <v>6.1111111111111109E-2</v>
      </c>
      <c r="BG381" s="119">
        <v>7.9166666666666663E-2</v>
      </c>
      <c r="BH381" s="119">
        <f t="shared" si="221"/>
        <v>3.4722222262644209E-3</v>
      </c>
      <c r="BI381" s="119">
        <f t="shared" si="221"/>
        <v>0.10069444444525288</v>
      </c>
      <c r="BJ381" s="119">
        <f t="shared" si="221"/>
        <v>0.18055555555474712</v>
      </c>
      <c r="BK381" s="119">
        <f t="shared" si="222"/>
        <v>0.28125</v>
      </c>
      <c r="BL381" s="119">
        <f t="shared" si="223"/>
        <v>0.14097222222222222</v>
      </c>
      <c r="BM381" s="172">
        <f t="shared" si="224"/>
        <v>7.6388888892931078E-2</v>
      </c>
      <c r="BN381" s="110" t="s">
        <v>543</v>
      </c>
    </row>
    <row r="382" spans="1:66" s="8" customFormat="1" ht="12.75" customHeight="1" x14ac:dyDescent="0.25">
      <c r="A382" s="155"/>
      <c r="B382" s="155"/>
      <c r="C382" s="155"/>
      <c r="D382" s="155"/>
      <c r="E382" s="91" t="s">
        <v>544</v>
      </c>
      <c r="F382" s="155"/>
      <c r="G382" s="155"/>
      <c r="H382" s="155"/>
      <c r="I382" s="186"/>
      <c r="J382" s="187"/>
      <c r="K382" s="186"/>
      <c r="L382" s="186"/>
      <c r="M382" s="187"/>
      <c r="N382" s="188"/>
      <c r="O382" s="188"/>
      <c r="P382" s="188"/>
      <c r="Q382" s="188"/>
      <c r="R382" s="188"/>
      <c r="S382" s="188"/>
      <c r="T382" s="188"/>
      <c r="U382" s="188"/>
      <c r="V382" s="189"/>
      <c r="W382" s="189"/>
      <c r="X382" s="189"/>
      <c r="Y382" s="96">
        <v>0</v>
      </c>
      <c r="Z382" s="96">
        <v>18</v>
      </c>
      <c r="AA382" s="96">
        <f t="shared" si="198"/>
        <v>18</v>
      </c>
      <c r="AB382" s="97">
        <f t="shared" si="199"/>
        <v>0</v>
      </c>
      <c r="AC382" s="97">
        <f t="shared" si="200"/>
        <v>1187.3599999999999</v>
      </c>
      <c r="AD382" s="98">
        <v>1187.3599999999999</v>
      </c>
      <c r="AE382" s="98">
        <v>1232.8</v>
      </c>
      <c r="AF382" s="98">
        <v>1234.3900000000001</v>
      </c>
      <c r="AG382" s="98">
        <f t="shared" si="201"/>
        <v>47.0300000000002</v>
      </c>
      <c r="AH382" s="99">
        <v>672.5</v>
      </c>
      <c r="AI382" s="100">
        <f t="shared" si="202"/>
        <v>830127.27500000002</v>
      </c>
      <c r="AJ382" s="100">
        <f>(0*AH382)*2</f>
        <v>0</v>
      </c>
      <c r="AK382" s="100">
        <v>0</v>
      </c>
      <c r="AL382" s="100">
        <v>0</v>
      </c>
      <c r="AM382" s="100">
        <v>0</v>
      </c>
      <c r="AN382" s="100">
        <v>0</v>
      </c>
      <c r="AO382" s="100">
        <v>0</v>
      </c>
      <c r="AP382" s="100">
        <f t="shared" ref="AP382:AP425" si="226">ROUNDUP(SUM(AI382:AO382)*5%,0)</f>
        <v>41507</v>
      </c>
      <c r="AQ382" s="101">
        <f t="shared" ref="AQ382:AQ413" si="227">ROUNDUP(SUM(AI382:AP382),0)</f>
        <v>871635</v>
      </c>
      <c r="AR382" s="101">
        <v>0</v>
      </c>
      <c r="AS382" s="101">
        <v>0</v>
      </c>
      <c r="AT382" s="102" t="s">
        <v>33</v>
      </c>
      <c r="AU382" s="127"/>
      <c r="AV382" s="180"/>
      <c r="AW382" s="105"/>
      <c r="AX382" s="144"/>
      <c r="AY382" s="145"/>
      <c r="AZ382" s="107"/>
      <c r="BA382" s="125"/>
      <c r="BB382" s="125"/>
      <c r="BC382" s="125"/>
      <c r="BD382" s="125"/>
      <c r="BE382" s="126"/>
      <c r="BF382" s="126"/>
      <c r="BG382" s="126"/>
      <c r="BH382" s="126"/>
      <c r="BI382" s="126"/>
      <c r="BJ382" s="126"/>
      <c r="BK382" s="126"/>
      <c r="BL382" s="126"/>
      <c r="BM382" s="173"/>
      <c r="BN382" s="110" t="s">
        <v>545</v>
      </c>
    </row>
    <row r="383" spans="1:66" s="8" customFormat="1" ht="12.75" customHeight="1" x14ac:dyDescent="0.25">
      <c r="A383" s="150">
        <v>338</v>
      </c>
      <c r="B383" s="150">
        <v>9</v>
      </c>
      <c r="C383" s="90">
        <v>2</v>
      </c>
      <c r="D383" s="90" t="s">
        <v>148</v>
      </c>
      <c r="E383" s="91" t="s">
        <v>544</v>
      </c>
      <c r="F383" s="90" t="s">
        <v>16</v>
      </c>
      <c r="G383" s="90" t="s">
        <v>17</v>
      </c>
      <c r="H383" s="90" t="s">
        <v>150</v>
      </c>
      <c r="I383" s="135" t="s">
        <v>546</v>
      </c>
      <c r="J383" s="151">
        <v>45474</v>
      </c>
      <c r="K383" s="135" t="s">
        <v>122</v>
      </c>
      <c r="L383" s="190">
        <v>461000330</v>
      </c>
      <c r="M383" s="191">
        <v>45476</v>
      </c>
      <c r="N383" s="152">
        <v>45476.114583333336</v>
      </c>
      <c r="O383" s="152">
        <v>45476.114583333336</v>
      </c>
      <c r="P383" s="152">
        <v>45476.145833333336</v>
      </c>
      <c r="Q383" s="152">
        <v>45476.322916666664</v>
      </c>
      <c r="R383" s="114" t="s">
        <v>118</v>
      </c>
      <c r="S383" s="114">
        <v>45476.402777777781</v>
      </c>
      <c r="T383" s="114">
        <v>45476.402777777781</v>
      </c>
      <c r="U383" s="114">
        <v>45476.495138888888</v>
      </c>
      <c r="V383" s="165">
        <f>+Q383-O383</f>
        <v>0.20833333332848269</v>
      </c>
      <c r="W383" s="165">
        <v>0.20833333333333334</v>
      </c>
      <c r="X383" s="165" t="str">
        <f>IF(VALUE(V383)&lt;=VALUE("05:00"),"00:00",VALUE(V383)-VALUE("05:00"))</f>
        <v>00:00</v>
      </c>
      <c r="Y383" s="96">
        <v>0</v>
      </c>
      <c r="Z383" s="96">
        <v>58</v>
      </c>
      <c r="AA383" s="96">
        <f t="shared" si="198"/>
        <v>58</v>
      </c>
      <c r="AB383" s="97">
        <f t="shared" si="199"/>
        <v>0</v>
      </c>
      <c r="AC383" s="97">
        <f t="shared" si="200"/>
        <v>3957.72</v>
      </c>
      <c r="AD383" s="98">
        <v>3957.72</v>
      </c>
      <c r="AE383" s="98">
        <v>3968.2</v>
      </c>
      <c r="AF383" s="98">
        <v>3985</v>
      </c>
      <c r="AG383" s="98">
        <f t="shared" si="201"/>
        <v>27.2800000000002</v>
      </c>
      <c r="AH383" s="99">
        <v>672.5</v>
      </c>
      <c r="AI383" s="100">
        <f t="shared" si="202"/>
        <v>2679912.5</v>
      </c>
      <c r="AJ383" s="100">
        <f>(1.8*AH383)*2</f>
        <v>2421</v>
      </c>
      <c r="AK383" s="100">
        <v>0</v>
      </c>
      <c r="AL383" s="100">
        <v>0</v>
      </c>
      <c r="AM383" s="100">
        <v>0</v>
      </c>
      <c r="AN383" s="100">
        <v>0</v>
      </c>
      <c r="AO383" s="100">
        <v>0</v>
      </c>
      <c r="AP383" s="100">
        <f t="shared" si="226"/>
        <v>134117</v>
      </c>
      <c r="AQ383" s="101">
        <f t="shared" si="227"/>
        <v>2816451</v>
      </c>
      <c r="AR383" s="101">
        <v>0</v>
      </c>
      <c r="AS383" s="101">
        <v>0</v>
      </c>
      <c r="AT383" s="102" t="s">
        <v>33</v>
      </c>
      <c r="AU383" s="109" t="s">
        <v>118</v>
      </c>
      <c r="AV383" s="100">
        <v>0</v>
      </c>
      <c r="AW383" s="105"/>
      <c r="AX383" s="106">
        <f>IFERROR((AG383/AF383)*100, "")</f>
        <v>0.68456712672522457</v>
      </c>
      <c r="AY383" s="101">
        <f>ROUNDUP(AG383*AH383,0)</f>
        <v>18346</v>
      </c>
      <c r="AZ383" s="107"/>
      <c r="BA383" s="94">
        <v>45476.114583333336</v>
      </c>
      <c r="BB383" s="94">
        <v>45476.145833333336</v>
      </c>
      <c r="BC383" s="94">
        <v>45476.145833333336</v>
      </c>
      <c r="BD383" s="94">
        <v>45476.385416666664</v>
      </c>
      <c r="BE383" s="95">
        <f>+BD383-BA383</f>
        <v>0.27083333332848269</v>
      </c>
      <c r="BF383" s="95">
        <v>8.3333333333333329E-2</v>
      </c>
      <c r="BG383" s="95">
        <v>2.7777777777777776E-2</v>
      </c>
      <c r="BH383" s="95">
        <f t="shared" ref="BH383:BJ384" si="228">+BB383-BA383</f>
        <v>3.125E-2</v>
      </c>
      <c r="BI383" s="95">
        <f t="shared" si="228"/>
        <v>0</v>
      </c>
      <c r="BJ383" s="95">
        <f t="shared" si="228"/>
        <v>0.23958333332848269</v>
      </c>
      <c r="BK383" s="95">
        <f>+BI383+BJ383</f>
        <v>0.23958333332848269</v>
      </c>
      <c r="BL383" s="95">
        <f>+BE383-BH383-BF383-BG383</f>
        <v>0.12847222221737159</v>
      </c>
      <c r="BM383" s="95">
        <f>IF(VALUE(BE383)&lt;=VALUE("05:00"),"00:00",VALUE(BE383)-VALUE("05:00"))</f>
        <v>6.2499999995149352E-2</v>
      </c>
      <c r="BN383" s="110"/>
    </row>
    <row r="384" spans="1:66" s="8" customFormat="1" ht="12.75" customHeight="1" x14ac:dyDescent="0.25">
      <c r="A384" s="154">
        <v>339</v>
      </c>
      <c r="B384" s="154">
        <v>10</v>
      </c>
      <c r="C384" s="90">
        <v>29</v>
      </c>
      <c r="D384" s="154" t="s">
        <v>113</v>
      </c>
      <c r="E384" s="91" t="s">
        <v>319</v>
      </c>
      <c r="F384" s="154" t="s">
        <v>32</v>
      </c>
      <c r="G384" s="148" t="s">
        <v>8</v>
      </c>
      <c r="H384" s="154" t="s">
        <v>146</v>
      </c>
      <c r="I384" s="192" t="s">
        <v>547</v>
      </c>
      <c r="J384" s="183">
        <v>45475</v>
      </c>
      <c r="K384" s="193" t="s">
        <v>117</v>
      </c>
      <c r="L384" s="194">
        <v>261005812</v>
      </c>
      <c r="M384" s="195">
        <v>45476</v>
      </c>
      <c r="N384" s="196">
        <v>45476.21875</v>
      </c>
      <c r="O384" s="184">
        <v>45476.21875</v>
      </c>
      <c r="P384" s="184">
        <v>45476.222222222219</v>
      </c>
      <c r="Q384" s="184">
        <v>45476.46875</v>
      </c>
      <c r="R384" s="184" t="s">
        <v>118</v>
      </c>
      <c r="S384" s="184">
        <v>45476.625</v>
      </c>
      <c r="T384" s="184">
        <v>45476.638888888891</v>
      </c>
      <c r="U384" s="184">
        <v>45476.760416666664</v>
      </c>
      <c r="V384" s="185">
        <f>+Q384-O384</f>
        <v>0.25</v>
      </c>
      <c r="W384" s="185">
        <v>0.20833333333333334</v>
      </c>
      <c r="X384" s="185">
        <f>IF(VALUE(V384)&lt;=VALUE("05:00"),"00:00",VALUE(V384)-VALUE("05:00"))</f>
        <v>4.1666666666666657E-2</v>
      </c>
      <c r="Y384" s="96">
        <v>7</v>
      </c>
      <c r="Z384" s="96">
        <v>50</v>
      </c>
      <c r="AA384" s="96">
        <f t="shared" si="198"/>
        <v>57</v>
      </c>
      <c r="AB384" s="97">
        <f t="shared" si="199"/>
        <v>476.85228070175447</v>
      </c>
      <c r="AC384" s="97">
        <f t="shared" si="200"/>
        <v>3406.0877192982462</v>
      </c>
      <c r="AD384" s="98">
        <v>3882.94</v>
      </c>
      <c r="AE384" s="98">
        <v>3904.8</v>
      </c>
      <c r="AF384" s="98">
        <v>3921.4</v>
      </c>
      <c r="AG384" s="98">
        <f t="shared" si="201"/>
        <v>38.460000000000036</v>
      </c>
      <c r="AH384" s="99">
        <v>1398.7</v>
      </c>
      <c r="AI384" s="100">
        <f t="shared" si="202"/>
        <v>5484862.1800000006</v>
      </c>
      <c r="AJ384" s="100">
        <f>(0*AH384)*2</f>
        <v>0</v>
      </c>
      <c r="AK384" s="100">
        <v>0</v>
      </c>
      <c r="AL384" s="100">
        <v>24140</v>
      </c>
      <c r="AM384" s="100">
        <v>0</v>
      </c>
      <c r="AN384" s="100">
        <v>0</v>
      </c>
      <c r="AO384" s="100">
        <v>0</v>
      </c>
      <c r="AP384" s="100">
        <f t="shared" si="226"/>
        <v>275451</v>
      </c>
      <c r="AQ384" s="101">
        <f t="shared" si="227"/>
        <v>5784454</v>
      </c>
      <c r="AR384" s="101">
        <v>0</v>
      </c>
      <c r="AS384" s="101">
        <v>0</v>
      </c>
      <c r="AT384" s="102" t="s">
        <v>33</v>
      </c>
      <c r="AU384" s="120">
        <v>6</v>
      </c>
      <c r="AV384" s="177">
        <f>20.61-14.11</f>
        <v>6.5</v>
      </c>
      <c r="AW384" s="105"/>
      <c r="AX384" s="140">
        <f>IFERROR(((AG384+AG385)/(AF384+AF385))*100, "")</f>
        <v>1.0490176423416209</v>
      </c>
      <c r="AY384" s="141">
        <f>ROUNDUP((AG384+AG385)*AH384,0)</f>
        <v>58550</v>
      </c>
      <c r="AZ384" s="107"/>
      <c r="BA384" s="118">
        <v>45476.21875</v>
      </c>
      <c r="BB384" s="118">
        <v>45476.222222222219</v>
      </c>
      <c r="BC384" s="118">
        <v>45476.401388888888</v>
      </c>
      <c r="BD384" s="118">
        <v>45476.624305555553</v>
      </c>
      <c r="BE384" s="119">
        <f>+BD384-BA384</f>
        <v>0.40555555555329192</v>
      </c>
      <c r="BF384" s="119">
        <v>4.6527777777777779E-2</v>
      </c>
      <c r="BG384" s="119">
        <v>0.19444444444444445</v>
      </c>
      <c r="BH384" s="119">
        <f t="shared" si="228"/>
        <v>3.4722222189884633E-3</v>
      </c>
      <c r="BI384" s="119">
        <f t="shared" si="228"/>
        <v>0.17916666666860692</v>
      </c>
      <c r="BJ384" s="119">
        <f t="shared" si="228"/>
        <v>0.22291666666569654</v>
      </c>
      <c r="BK384" s="119">
        <f>+BI384+BJ384</f>
        <v>0.40208333333430346</v>
      </c>
      <c r="BL384" s="119">
        <f>+BE384-BH384-BF384-BG384</f>
        <v>0.16111111111208123</v>
      </c>
      <c r="BM384" s="172">
        <f>IF(VALUE(BE384)&lt;=VALUE("05:00"),"00:00",VALUE(BE384)-VALUE("05:00"))</f>
        <v>0.19722222221995858</v>
      </c>
      <c r="BN384" s="110" t="s">
        <v>548</v>
      </c>
    </row>
    <row r="385" spans="1:66" s="8" customFormat="1" ht="12.75" customHeight="1" x14ac:dyDescent="0.25">
      <c r="A385" s="155"/>
      <c r="B385" s="155"/>
      <c r="C385" s="90">
        <v>4</v>
      </c>
      <c r="D385" s="155"/>
      <c r="E385" s="91" t="s">
        <v>483</v>
      </c>
      <c r="F385" s="155"/>
      <c r="G385" s="171" t="s">
        <v>15</v>
      </c>
      <c r="H385" s="155"/>
      <c r="I385" s="194" t="s">
        <v>549</v>
      </c>
      <c r="J385" s="187"/>
      <c r="K385" s="197"/>
      <c r="L385" s="194">
        <v>261005813</v>
      </c>
      <c r="M385" s="198">
        <v>45476</v>
      </c>
      <c r="N385" s="199"/>
      <c r="O385" s="188"/>
      <c r="P385" s="188"/>
      <c r="Q385" s="188"/>
      <c r="R385" s="188"/>
      <c r="S385" s="188"/>
      <c r="T385" s="188"/>
      <c r="U385" s="188"/>
      <c r="V385" s="189"/>
      <c r="W385" s="189"/>
      <c r="X385" s="189"/>
      <c r="Y385" s="96">
        <v>0</v>
      </c>
      <c r="Z385" s="96">
        <v>1</v>
      </c>
      <c r="AA385" s="96">
        <f t="shared" si="198"/>
        <v>1</v>
      </c>
      <c r="AB385" s="97">
        <f t="shared" si="199"/>
        <v>0</v>
      </c>
      <c r="AC385" s="97">
        <f t="shared" si="200"/>
        <v>65.599999999999994</v>
      </c>
      <c r="AD385" s="98">
        <v>65.599999999999994</v>
      </c>
      <c r="AE385" s="98">
        <v>69</v>
      </c>
      <c r="AF385" s="98">
        <v>69</v>
      </c>
      <c r="AG385" s="98">
        <f t="shared" si="201"/>
        <v>3.4000000000000057</v>
      </c>
      <c r="AH385" s="99">
        <v>1398.7</v>
      </c>
      <c r="AI385" s="100">
        <f t="shared" si="202"/>
        <v>96510.3</v>
      </c>
      <c r="AJ385" s="100">
        <f>(0*AH385)*2</f>
        <v>0</v>
      </c>
      <c r="AK385" s="100">
        <v>0</v>
      </c>
      <c r="AL385" s="100">
        <v>0</v>
      </c>
      <c r="AM385" s="100">
        <v>0</v>
      </c>
      <c r="AN385" s="100">
        <v>0</v>
      </c>
      <c r="AO385" s="100">
        <v>0</v>
      </c>
      <c r="AP385" s="100">
        <f t="shared" si="226"/>
        <v>4826</v>
      </c>
      <c r="AQ385" s="101">
        <f t="shared" si="227"/>
        <v>101337</v>
      </c>
      <c r="AR385" s="101">
        <v>0</v>
      </c>
      <c r="AS385" s="101">
        <v>0</v>
      </c>
      <c r="AT385" s="102" t="s">
        <v>33</v>
      </c>
      <c r="AU385" s="127"/>
      <c r="AV385" s="180"/>
      <c r="AW385" s="105"/>
      <c r="AX385" s="144"/>
      <c r="AY385" s="145"/>
      <c r="AZ385" s="107"/>
      <c r="BA385" s="125"/>
      <c r="BB385" s="125"/>
      <c r="BC385" s="125"/>
      <c r="BD385" s="125"/>
      <c r="BE385" s="126"/>
      <c r="BF385" s="126"/>
      <c r="BG385" s="126"/>
      <c r="BH385" s="126"/>
      <c r="BI385" s="126"/>
      <c r="BJ385" s="126"/>
      <c r="BK385" s="126"/>
      <c r="BL385" s="126"/>
      <c r="BM385" s="173"/>
      <c r="BN385" s="110" t="s">
        <v>550</v>
      </c>
    </row>
    <row r="386" spans="1:66" s="8" customFormat="1" ht="12.75" customHeight="1" x14ac:dyDescent="0.25">
      <c r="A386" s="153">
        <v>340</v>
      </c>
      <c r="B386" s="153">
        <v>11</v>
      </c>
      <c r="C386" s="90">
        <v>1</v>
      </c>
      <c r="D386" s="200" t="s">
        <v>113</v>
      </c>
      <c r="E386" s="91" t="s">
        <v>551</v>
      </c>
      <c r="F386" s="200" t="s">
        <v>29</v>
      </c>
      <c r="G386" s="200" t="s">
        <v>8</v>
      </c>
      <c r="H386" s="200" t="s">
        <v>124</v>
      </c>
      <c r="I386" s="194" t="s">
        <v>552</v>
      </c>
      <c r="J386" s="198">
        <v>45476</v>
      </c>
      <c r="K386" s="201" t="s">
        <v>122</v>
      </c>
      <c r="L386" s="201">
        <v>261005814</v>
      </c>
      <c r="M386" s="198">
        <v>45476</v>
      </c>
      <c r="N386" s="202">
        <v>45476.572916666664</v>
      </c>
      <c r="O386" s="202">
        <v>45476.572916666664</v>
      </c>
      <c r="P386" s="202">
        <v>45476.576388888891</v>
      </c>
      <c r="Q386" s="202">
        <v>45476.78125</v>
      </c>
      <c r="R386" s="202" t="s">
        <v>118</v>
      </c>
      <c r="S386" s="202" t="s">
        <v>118</v>
      </c>
      <c r="T386" s="202">
        <v>45476.833333333336</v>
      </c>
      <c r="U386" s="202">
        <v>45476.958333333336</v>
      </c>
      <c r="V386" s="203">
        <f t="shared" ref="V386:V423" si="229">+Q386-O386</f>
        <v>0.20833333333575865</v>
      </c>
      <c r="W386" s="203">
        <v>0.20833333333333334</v>
      </c>
      <c r="X386" s="203">
        <f t="shared" ref="X386:X423" si="230">IF(VALUE(V386)&lt;=VALUE("05:00"),"00:00",VALUE(V386)-VALUE("05:00"))</f>
        <v>2.4253099528692701E-12</v>
      </c>
      <c r="Y386" s="96">
        <v>0</v>
      </c>
      <c r="Z386" s="96">
        <v>58</v>
      </c>
      <c r="AA386" s="96">
        <f t="shared" si="198"/>
        <v>58</v>
      </c>
      <c r="AB386" s="97">
        <f t="shared" si="199"/>
        <v>0</v>
      </c>
      <c r="AC386" s="97">
        <f t="shared" si="200"/>
        <v>3936.99</v>
      </c>
      <c r="AD386" s="98">
        <v>3936.99</v>
      </c>
      <c r="AE386" s="98">
        <v>3972.7</v>
      </c>
      <c r="AF386" s="98">
        <v>3993.4</v>
      </c>
      <c r="AG386" s="98">
        <f t="shared" si="201"/>
        <v>56.410000000000309</v>
      </c>
      <c r="AH386" s="99">
        <v>797.2</v>
      </c>
      <c r="AI386" s="100">
        <f t="shared" si="202"/>
        <v>3183538.4800000004</v>
      </c>
      <c r="AJ386" s="100">
        <f>(0*AH386)*2</f>
        <v>0</v>
      </c>
      <c r="AK386" s="100">
        <v>0</v>
      </c>
      <c r="AL386" s="100">
        <v>24140</v>
      </c>
      <c r="AM386" s="100">
        <v>0</v>
      </c>
      <c r="AN386" s="100">
        <v>0</v>
      </c>
      <c r="AO386" s="100">
        <v>0</v>
      </c>
      <c r="AP386" s="100">
        <f t="shared" si="226"/>
        <v>160384</v>
      </c>
      <c r="AQ386" s="101">
        <f t="shared" si="227"/>
        <v>3368063</v>
      </c>
      <c r="AR386" s="101">
        <v>0</v>
      </c>
      <c r="AS386" s="101">
        <v>0</v>
      </c>
      <c r="AT386" s="102" t="s">
        <v>33</v>
      </c>
      <c r="AU386" s="109">
        <v>8</v>
      </c>
      <c r="AV386" s="204">
        <f>26.3-18.3</f>
        <v>8</v>
      </c>
      <c r="AW386" s="105"/>
      <c r="AX386" s="106">
        <f t="shared" ref="AX386:AX422" si="231">IFERROR((AG386/AF386)*100, "")</f>
        <v>1.4125807582511221</v>
      </c>
      <c r="AY386" s="101">
        <f t="shared" ref="AY386:AY422" si="232">ROUNDUP(AG386*AH386,0)</f>
        <v>44971</v>
      </c>
      <c r="AZ386" s="107"/>
      <c r="BA386" s="94">
        <v>45476.572916666664</v>
      </c>
      <c r="BB386" s="94">
        <v>45476.576388888891</v>
      </c>
      <c r="BC386" s="94">
        <v>45476.638888888891</v>
      </c>
      <c r="BD386" s="94">
        <v>45476.789583333331</v>
      </c>
      <c r="BE386" s="95">
        <f t="shared" ref="BE386:BE423" si="233">+BD386-BA386</f>
        <v>0.21666666666715173</v>
      </c>
      <c r="BF386" s="95">
        <v>6.9444444444444441E-3</v>
      </c>
      <c r="BG386" s="95">
        <v>6.5277777777777782E-2</v>
      </c>
      <c r="BH386" s="95">
        <f t="shared" ref="BH386:BJ423" si="234">+BB386-BA386</f>
        <v>3.4722222262644209E-3</v>
      </c>
      <c r="BI386" s="95">
        <f t="shared" si="234"/>
        <v>6.25E-2</v>
      </c>
      <c r="BJ386" s="95">
        <f t="shared" si="234"/>
        <v>0.15069444444088731</v>
      </c>
      <c r="BK386" s="95">
        <f t="shared" ref="BK386:BK423" si="235">+BI386+BJ386</f>
        <v>0.21319444444088731</v>
      </c>
      <c r="BL386" s="95">
        <f t="shared" ref="BL386:BL423" si="236">+BE386-BH386-BF386-BG386</f>
        <v>0.14097222221866507</v>
      </c>
      <c r="BM386" s="95">
        <f t="shared" ref="BM386:BM423" si="237">IF(VALUE(BE386)&lt;=VALUE("05:00"),"00:00",VALUE(BE386)-VALUE("05:00"))</f>
        <v>8.3333333338183879E-3</v>
      </c>
      <c r="BN386" s="110"/>
    </row>
    <row r="387" spans="1:66" s="8" customFormat="1" ht="12.75" customHeight="1" x14ac:dyDescent="0.25">
      <c r="A387" s="150">
        <v>341</v>
      </c>
      <c r="B387" s="150">
        <v>12</v>
      </c>
      <c r="C387" s="90">
        <v>3</v>
      </c>
      <c r="D387" s="90" t="s">
        <v>148</v>
      </c>
      <c r="E387" s="91" t="s">
        <v>544</v>
      </c>
      <c r="F387" s="90" t="s">
        <v>16</v>
      </c>
      <c r="G387" s="90" t="s">
        <v>17</v>
      </c>
      <c r="H387" s="90" t="s">
        <v>150</v>
      </c>
      <c r="I387" s="135" t="s">
        <v>553</v>
      </c>
      <c r="J387" s="151">
        <v>45474</v>
      </c>
      <c r="K387" s="135" t="s">
        <v>122</v>
      </c>
      <c r="L387" s="135">
        <v>461000331</v>
      </c>
      <c r="M387" s="151">
        <v>45477</v>
      </c>
      <c r="N387" s="152">
        <v>45477.15625</v>
      </c>
      <c r="O387" s="152">
        <v>45477.15625</v>
      </c>
      <c r="P387" s="152">
        <v>45477.163194444445</v>
      </c>
      <c r="Q387" s="152">
        <v>45477.354166666664</v>
      </c>
      <c r="R387" s="114" t="s">
        <v>118</v>
      </c>
      <c r="S387" s="114" t="s">
        <v>118</v>
      </c>
      <c r="T387" s="114">
        <v>45477.375</v>
      </c>
      <c r="U387" s="114">
        <v>45477.439583333333</v>
      </c>
      <c r="V387" s="165">
        <f t="shared" si="229"/>
        <v>0.19791666666424135</v>
      </c>
      <c r="W387" s="165">
        <v>0.20833333333333334</v>
      </c>
      <c r="X387" s="165" t="str">
        <f t="shared" si="230"/>
        <v>00:00</v>
      </c>
      <c r="Y387" s="96">
        <v>1</v>
      </c>
      <c r="Z387" s="96">
        <v>58</v>
      </c>
      <c r="AA387" s="96">
        <f t="shared" si="198"/>
        <v>59</v>
      </c>
      <c r="AB387" s="97">
        <f t="shared" si="199"/>
        <v>68.230847457627121</v>
      </c>
      <c r="AC387" s="97">
        <f t="shared" si="200"/>
        <v>3957.3891525423728</v>
      </c>
      <c r="AD387" s="98">
        <v>4025.62</v>
      </c>
      <c r="AE387" s="98">
        <v>4048.9</v>
      </c>
      <c r="AF387" s="98">
        <v>4061.4</v>
      </c>
      <c r="AG387" s="98">
        <f t="shared" si="201"/>
        <v>35.7800000000002</v>
      </c>
      <c r="AH387" s="99">
        <v>672.5</v>
      </c>
      <c r="AI387" s="100">
        <f t="shared" si="202"/>
        <v>2731291.5</v>
      </c>
      <c r="AJ387" s="100">
        <f>(0.6*AH387)*2</f>
        <v>807</v>
      </c>
      <c r="AK387" s="100">
        <v>0</v>
      </c>
      <c r="AL387" s="100">
        <v>0</v>
      </c>
      <c r="AM387" s="100">
        <v>0</v>
      </c>
      <c r="AN387" s="100">
        <v>0</v>
      </c>
      <c r="AO387" s="100">
        <v>0</v>
      </c>
      <c r="AP387" s="100">
        <f t="shared" si="226"/>
        <v>136605</v>
      </c>
      <c r="AQ387" s="101">
        <f t="shared" si="227"/>
        <v>2868704</v>
      </c>
      <c r="AR387" s="101">
        <v>0</v>
      </c>
      <c r="AS387" s="101">
        <v>0</v>
      </c>
      <c r="AT387" s="102" t="s">
        <v>33</v>
      </c>
      <c r="AU387" s="109" t="s">
        <v>118</v>
      </c>
      <c r="AV387" s="100">
        <v>0</v>
      </c>
      <c r="AW387" s="105"/>
      <c r="AX387" s="106">
        <f t="shared" si="231"/>
        <v>0.88097700300389525</v>
      </c>
      <c r="AY387" s="101">
        <f t="shared" si="232"/>
        <v>24063</v>
      </c>
      <c r="AZ387" s="107"/>
      <c r="BA387" s="94">
        <v>45477.15625</v>
      </c>
      <c r="BB387" s="94">
        <v>45477.163194444445</v>
      </c>
      <c r="BC387" s="94">
        <v>45477.163194444445</v>
      </c>
      <c r="BD387" s="94">
        <v>45477.294444444444</v>
      </c>
      <c r="BE387" s="95">
        <f t="shared" si="233"/>
        <v>0.13819444444379769</v>
      </c>
      <c r="BF387" s="95">
        <v>0</v>
      </c>
      <c r="BG387" s="95">
        <v>2.0833333333333333E-3</v>
      </c>
      <c r="BH387" s="95">
        <f t="shared" si="234"/>
        <v>6.9444444452528842E-3</v>
      </c>
      <c r="BI387" s="95">
        <f t="shared" si="234"/>
        <v>0</v>
      </c>
      <c r="BJ387" s="95">
        <f t="shared" si="234"/>
        <v>0.13124999999854481</v>
      </c>
      <c r="BK387" s="95">
        <f t="shared" si="235"/>
        <v>0.13124999999854481</v>
      </c>
      <c r="BL387" s="95">
        <f t="shared" si="236"/>
        <v>0.12916666666521148</v>
      </c>
      <c r="BM387" s="95" t="str">
        <f t="shared" si="237"/>
        <v>00:00</v>
      </c>
      <c r="BN387" s="110"/>
    </row>
    <row r="388" spans="1:66" s="8" customFormat="1" ht="12.75" customHeight="1" x14ac:dyDescent="0.25">
      <c r="A388" s="150">
        <v>342</v>
      </c>
      <c r="B388" s="150">
        <v>13</v>
      </c>
      <c r="C388" s="90">
        <v>5</v>
      </c>
      <c r="D388" s="90" t="s">
        <v>113</v>
      </c>
      <c r="E388" s="205" t="s">
        <v>483</v>
      </c>
      <c r="F388" s="111" t="s">
        <v>32</v>
      </c>
      <c r="G388" s="111" t="s">
        <v>15</v>
      </c>
      <c r="H388" s="111" t="s">
        <v>146</v>
      </c>
      <c r="I388" s="135" t="s">
        <v>554</v>
      </c>
      <c r="J388" s="151">
        <v>45477</v>
      </c>
      <c r="K388" s="135" t="s">
        <v>117</v>
      </c>
      <c r="L388" s="135">
        <v>261005816</v>
      </c>
      <c r="M388" s="151">
        <v>45478</v>
      </c>
      <c r="N388" s="152">
        <v>45477.6875</v>
      </c>
      <c r="O388" s="152">
        <v>45477.6875</v>
      </c>
      <c r="P388" s="152">
        <v>45477.694444444445</v>
      </c>
      <c r="Q388" s="152">
        <v>45477.885416666664</v>
      </c>
      <c r="R388" s="114" t="s">
        <v>118</v>
      </c>
      <c r="S388" s="114" t="s">
        <v>118</v>
      </c>
      <c r="T388" s="114">
        <v>45477.916666666664</v>
      </c>
      <c r="U388" s="114">
        <v>45478.018055555556</v>
      </c>
      <c r="V388" s="165">
        <f t="shared" si="229"/>
        <v>0.19791666666424135</v>
      </c>
      <c r="W388" s="165">
        <v>0.20833333333333334</v>
      </c>
      <c r="X388" s="165" t="str">
        <f t="shared" si="230"/>
        <v>00:00</v>
      </c>
      <c r="Y388" s="96">
        <v>1</v>
      </c>
      <c r="Z388" s="96">
        <v>57</v>
      </c>
      <c r="AA388" s="96">
        <f t="shared" si="198"/>
        <v>58</v>
      </c>
      <c r="AB388" s="97">
        <f t="shared" si="199"/>
        <v>68.548275862068962</v>
      </c>
      <c r="AC388" s="97">
        <f t="shared" si="200"/>
        <v>3907.251724137931</v>
      </c>
      <c r="AD388" s="98">
        <v>3975.8</v>
      </c>
      <c r="AE388" s="98">
        <v>4002</v>
      </c>
      <c r="AF388" s="98">
        <v>4010.8</v>
      </c>
      <c r="AG388" s="98">
        <f t="shared" si="201"/>
        <v>35</v>
      </c>
      <c r="AH388" s="99">
        <v>1398.7</v>
      </c>
      <c r="AI388" s="100">
        <f t="shared" si="202"/>
        <v>5609905.9600000009</v>
      </c>
      <c r="AJ388" s="100">
        <f>(0*AH388)*2</f>
        <v>0</v>
      </c>
      <c r="AK388" s="100">
        <v>0</v>
      </c>
      <c r="AL388" s="100">
        <v>0</v>
      </c>
      <c r="AM388" s="100">
        <v>0</v>
      </c>
      <c r="AN388" s="100">
        <v>0</v>
      </c>
      <c r="AO388" s="100">
        <v>0</v>
      </c>
      <c r="AP388" s="100">
        <f t="shared" si="226"/>
        <v>280496</v>
      </c>
      <c r="AQ388" s="101">
        <f t="shared" si="227"/>
        <v>5890402</v>
      </c>
      <c r="AR388" s="101">
        <v>0</v>
      </c>
      <c r="AS388" s="101">
        <v>0</v>
      </c>
      <c r="AT388" s="102" t="s">
        <v>33</v>
      </c>
      <c r="AU388" s="109" t="s">
        <v>118</v>
      </c>
      <c r="AV388" s="100">
        <v>0</v>
      </c>
      <c r="AW388" s="105"/>
      <c r="AX388" s="106">
        <f t="shared" si="231"/>
        <v>0.87264386157375096</v>
      </c>
      <c r="AY388" s="101">
        <f t="shared" si="232"/>
        <v>48955</v>
      </c>
      <c r="AZ388" s="107"/>
      <c r="BA388" s="94">
        <v>45477.6875</v>
      </c>
      <c r="BB388" s="94">
        <v>45477.694444444445</v>
      </c>
      <c r="BC388" s="94">
        <v>45477.7</v>
      </c>
      <c r="BD388" s="94">
        <v>45477.878472222219</v>
      </c>
      <c r="BE388" s="95">
        <f t="shared" si="233"/>
        <v>0.19097222221898846</v>
      </c>
      <c r="BF388" s="95">
        <v>2.7777777777777779E-3</v>
      </c>
      <c r="BG388" s="95">
        <v>6.1805555555555558E-2</v>
      </c>
      <c r="BH388" s="95">
        <f t="shared" si="234"/>
        <v>6.9444444452528842E-3</v>
      </c>
      <c r="BI388" s="95">
        <f t="shared" si="234"/>
        <v>5.5555555518367328E-3</v>
      </c>
      <c r="BJ388" s="95">
        <f t="shared" si="234"/>
        <v>0.17847222222189885</v>
      </c>
      <c r="BK388" s="95">
        <f t="shared" si="235"/>
        <v>0.18402777777373558</v>
      </c>
      <c r="BL388" s="95">
        <f t="shared" si="236"/>
        <v>0.11944444444040225</v>
      </c>
      <c r="BM388" s="95" t="str">
        <f t="shared" si="237"/>
        <v>00:00</v>
      </c>
      <c r="BN388" s="110"/>
    </row>
    <row r="389" spans="1:66" s="8" customFormat="1" ht="12.75" customHeight="1" x14ac:dyDescent="0.25">
      <c r="A389" s="150">
        <v>343</v>
      </c>
      <c r="B389" s="150">
        <v>14</v>
      </c>
      <c r="C389" s="90">
        <v>2</v>
      </c>
      <c r="D389" s="90" t="s">
        <v>113</v>
      </c>
      <c r="E389" s="91" t="s">
        <v>551</v>
      </c>
      <c r="F389" s="200" t="s">
        <v>29</v>
      </c>
      <c r="G389" s="200" t="s">
        <v>8</v>
      </c>
      <c r="H389" s="200" t="s">
        <v>124</v>
      </c>
      <c r="I389" s="135" t="s">
        <v>555</v>
      </c>
      <c r="J389" s="151"/>
      <c r="K389" s="135" t="s">
        <v>117</v>
      </c>
      <c r="L389" s="135">
        <v>261005818</v>
      </c>
      <c r="M389" s="151">
        <v>45478</v>
      </c>
      <c r="N389" s="152">
        <v>45478.041666666664</v>
      </c>
      <c r="O389" s="152">
        <v>45478.041666666664</v>
      </c>
      <c r="P389" s="152">
        <v>45478.059027777781</v>
      </c>
      <c r="Q389" s="152">
        <v>45478.239583333336</v>
      </c>
      <c r="R389" s="114" t="s">
        <v>118</v>
      </c>
      <c r="S389" s="114" t="s">
        <v>118</v>
      </c>
      <c r="T389" s="114">
        <v>45478.270833333336</v>
      </c>
      <c r="U389" s="114">
        <v>45478.407638888886</v>
      </c>
      <c r="V389" s="165">
        <f t="shared" si="229"/>
        <v>0.19791666667151731</v>
      </c>
      <c r="W389" s="165">
        <v>0.20833333333333334</v>
      </c>
      <c r="X389" s="165" t="str">
        <f t="shared" si="230"/>
        <v>00:00</v>
      </c>
      <c r="Y389" s="96">
        <v>0</v>
      </c>
      <c r="Z389" s="96">
        <v>58</v>
      </c>
      <c r="AA389" s="96">
        <f t="shared" si="198"/>
        <v>58</v>
      </c>
      <c r="AB389" s="97">
        <f t="shared" si="199"/>
        <v>0</v>
      </c>
      <c r="AC389" s="97">
        <f t="shared" si="200"/>
        <v>3857.7099999999996</v>
      </c>
      <c r="AD389" s="98">
        <v>3857.71</v>
      </c>
      <c r="AE389" s="98">
        <v>3963.2</v>
      </c>
      <c r="AF389" s="98">
        <v>3967.6</v>
      </c>
      <c r="AG389" s="98">
        <f t="shared" si="201"/>
        <v>109.88999999999987</v>
      </c>
      <c r="AH389" s="99">
        <v>797.2</v>
      </c>
      <c r="AI389" s="100">
        <f t="shared" si="202"/>
        <v>3162970.72</v>
      </c>
      <c r="AJ389" s="100">
        <f>(0.2*AH389)*2</f>
        <v>318.88000000000005</v>
      </c>
      <c r="AK389" s="100">
        <v>0</v>
      </c>
      <c r="AL389" s="100">
        <v>0</v>
      </c>
      <c r="AM389" s="100">
        <v>0</v>
      </c>
      <c r="AN389" s="100">
        <v>0</v>
      </c>
      <c r="AO389" s="100">
        <v>0</v>
      </c>
      <c r="AP389" s="100">
        <f t="shared" si="226"/>
        <v>158165</v>
      </c>
      <c r="AQ389" s="101">
        <f t="shared" si="227"/>
        <v>3321455</v>
      </c>
      <c r="AR389" s="101">
        <v>0</v>
      </c>
      <c r="AS389" s="101">
        <v>0</v>
      </c>
      <c r="AT389" s="102" t="s">
        <v>33</v>
      </c>
      <c r="AU389" s="109" t="s">
        <v>118</v>
      </c>
      <c r="AV389" s="100">
        <v>0</v>
      </c>
      <c r="AW389" s="105"/>
      <c r="AX389" s="106">
        <f t="shared" si="231"/>
        <v>2.7696844439963675</v>
      </c>
      <c r="AY389" s="101">
        <f t="shared" si="232"/>
        <v>87605</v>
      </c>
      <c r="AZ389" s="107"/>
      <c r="BA389" s="94">
        <v>45478.041666666664</v>
      </c>
      <c r="BB389" s="94">
        <v>45478.059027777781</v>
      </c>
      <c r="BC389" s="94">
        <v>45478.059027777781</v>
      </c>
      <c r="BD389" s="94">
        <v>45478.214583333334</v>
      </c>
      <c r="BE389" s="95">
        <f t="shared" si="233"/>
        <v>0.17291666667006211</v>
      </c>
      <c r="BF389" s="95">
        <v>1.0416666666666666E-2</v>
      </c>
      <c r="BG389" s="95">
        <v>1.0416666666666666E-2</v>
      </c>
      <c r="BH389" s="95">
        <f t="shared" si="234"/>
        <v>1.7361111116770189E-2</v>
      </c>
      <c r="BI389" s="95">
        <f t="shared" si="234"/>
        <v>0</v>
      </c>
      <c r="BJ389" s="95">
        <f t="shared" si="234"/>
        <v>0.15555555555329192</v>
      </c>
      <c r="BK389" s="95">
        <f t="shared" si="235"/>
        <v>0.15555555555329192</v>
      </c>
      <c r="BL389" s="95">
        <f t="shared" si="236"/>
        <v>0.13472222221995861</v>
      </c>
      <c r="BM389" s="95" t="str">
        <f t="shared" si="237"/>
        <v>00:00</v>
      </c>
      <c r="BN389" s="110"/>
    </row>
    <row r="390" spans="1:66" s="8" customFormat="1" ht="12.75" customHeight="1" x14ac:dyDescent="0.25">
      <c r="A390" s="150">
        <v>344</v>
      </c>
      <c r="B390" s="150">
        <v>15</v>
      </c>
      <c r="C390" s="90">
        <v>4</v>
      </c>
      <c r="D390" s="90" t="s">
        <v>148</v>
      </c>
      <c r="E390" s="91" t="s">
        <v>544</v>
      </c>
      <c r="F390" s="90" t="s">
        <v>16</v>
      </c>
      <c r="G390" s="90" t="s">
        <v>17</v>
      </c>
      <c r="H390" s="90" t="s">
        <v>150</v>
      </c>
      <c r="I390" s="135" t="s">
        <v>556</v>
      </c>
      <c r="J390" s="151">
        <v>45474</v>
      </c>
      <c r="K390" s="135" t="s">
        <v>117</v>
      </c>
      <c r="L390" s="135">
        <v>461000333</v>
      </c>
      <c r="M390" s="151">
        <v>45478</v>
      </c>
      <c r="N390" s="152">
        <v>45478.354166666664</v>
      </c>
      <c r="O390" s="152">
        <v>45478.354166666664</v>
      </c>
      <c r="P390" s="152">
        <v>45478.368055555555</v>
      </c>
      <c r="Q390" s="152">
        <v>45478.5625</v>
      </c>
      <c r="R390" s="114" t="s">
        <v>118</v>
      </c>
      <c r="S390" s="114" t="s">
        <v>118</v>
      </c>
      <c r="T390" s="114">
        <v>45478.583333333336</v>
      </c>
      <c r="U390" s="114">
        <v>45478.684027777781</v>
      </c>
      <c r="V390" s="165">
        <f t="shared" si="229"/>
        <v>0.20833333333575865</v>
      </c>
      <c r="W390" s="165">
        <v>0.20833333333333334</v>
      </c>
      <c r="X390" s="165">
        <f t="shared" si="230"/>
        <v>2.4253099528692701E-12</v>
      </c>
      <c r="Y390" s="96">
        <v>5</v>
      </c>
      <c r="Z390" s="96">
        <v>53</v>
      </c>
      <c r="AA390" s="96">
        <f t="shared" si="198"/>
        <v>58</v>
      </c>
      <c r="AB390" s="97">
        <f t="shared" si="199"/>
        <v>344.48275862068965</v>
      </c>
      <c r="AC390" s="97">
        <f t="shared" si="200"/>
        <v>3651.5172413793107</v>
      </c>
      <c r="AD390" s="98">
        <v>3996</v>
      </c>
      <c r="AE390" s="98">
        <v>3974.9</v>
      </c>
      <c r="AF390" s="98">
        <v>4009</v>
      </c>
      <c r="AG390" s="98">
        <f t="shared" si="201"/>
        <v>13</v>
      </c>
      <c r="AH390" s="99">
        <v>672.5</v>
      </c>
      <c r="AI390" s="100">
        <f t="shared" si="202"/>
        <v>2696052.5</v>
      </c>
      <c r="AJ390" s="100">
        <f>(0*AH390)*2</f>
        <v>0</v>
      </c>
      <c r="AK390" s="100">
        <v>0</v>
      </c>
      <c r="AL390" s="100">
        <v>24140</v>
      </c>
      <c r="AM390" s="100">
        <v>0</v>
      </c>
      <c r="AN390" s="100">
        <v>0</v>
      </c>
      <c r="AO390" s="100">
        <v>0</v>
      </c>
      <c r="AP390" s="100">
        <f t="shared" si="226"/>
        <v>136010</v>
      </c>
      <c r="AQ390" s="101">
        <f t="shared" si="227"/>
        <v>2856203</v>
      </c>
      <c r="AR390" s="101">
        <v>0</v>
      </c>
      <c r="AS390" s="101">
        <v>0</v>
      </c>
      <c r="AT390" s="102" t="s">
        <v>33</v>
      </c>
      <c r="AU390" s="109">
        <v>18</v>
      </c>
      <c r="AV390" s="100">
        <f>53.6-29.1</f>
        <v>24.5</v>
      </c>
      <c r="AW390" s="105"/>
      <c r="AX390" s="106">
        <f t="shared" si="231"/>
        <v>0.32427039161885757</v>
      </c>
      <c r="AY390" s="101">
        <f t="shared" si="232"/>
        <v>8743</v>
      </c>
      <c r="AZ390" s="107"/>
      <c r="BA390" s="94">
        <v>45478.354166666664</v>
      </c>
      <c r="BB390" s="94">
        <v>45478.378472222219</v>
      </c>
      <c r="BC390" s="94">
        <v>45478.378472222219</v>
      </c>
      <c r="BD390" s="94">
        <v>45478.575694444444</v>
      </c>
      <c r="BE390" s="95">
        <f t="shared" si="233"/>
        <v>0.22152777777955635</v>
      </c>
      <c r="BF390" s="95">
        <v>6.6666666666666666E-2</v>
      </c>
      <c r="BG390" s="95">
        <v>6.2500000000000003E-3</v>
      </c>
      <c r="BH390" s="95">
        <f t="shared" si="234"/>
        <v>2.4305555554747116E-2</v>
      </c>
      <c r="BI390" s="95">
        <f t="shared" si="234"/>
        <v>0</v>
      </c>
      <c r="BJ390" s="95">
        <f t="shared" si="234"/>
        <v>0.19722222222480923</v>
      </c>
      <c r="BK390" s="95">
        <f t="shared" si="235"/>
        <v>0.19722222222480923</v>
      </c>
      <c r="BL390" s="95">
        <f t="shared" si="236"/>
        <v>0.12430555555814257</v>
      </c>
      <c r="BM390" s="95">
        <f t="shared" si="237"/>
        <v>1.3194444446223003E-2</v>
      </c>
      <c r="BN390" s="110"/>
    </row>
    <row r="391" spans="1:66" s="8" customFormat="1" ht="12.75" customHeight="1" x14ac:dyDescent="0.25">
      <c r="A391" s="150">
        <v>345</v>
      </c>
      <c r="B391" s="150">
        <v>16</v>
      </c>
      <c r="C391" s="90">
        <v>5</v>
      </c>
      <c r="D391" s="90" t="s">
        <v>148</v>
      </c>
      <c r="E391" s="91" t="s">
        <v>544</v>
      </c>
      <c r="F391" s="90" t="s">
        <v>16</v>
      </c>
      <c r="G391" s="90" t="s">
        <v>17</v>
      </c>
      <c r="H391" s="90" t="s">
        <v>150</v>
      </c>
      <c r="I391" s="135" t="s">
        <v>557</v>
      </c>
      <c r="J391" s="151">
        <v>45474</v>
      </c>
      <c r="K391" s="135" t="s">
        <v>122</v>
      </c>
      <c r="L391" s="135">
        <v>461000332</v>
      </c>
      <c r="M391" s="151">
        <v>45478</v>
      </c>
      <c r="N391" s="152">
        <v>45478.59375</v>
      </c>
      <c r="O391" s="152">
        <v>45478.59375</v>
      </c>
      <c r="P391" s="152">
        <v>45478.604166666664</v>
      </c>
      <c r="Q391" s="152">
        <v>45478.791666666664</v>
      </c>
      <c r="R391" s="114" t="s">
        <v>118</v>
      </c>
      <c r="S391" s="114" t="s">
        <v>118</v>
      </c>
      <c r="T391" s="114">
        <v>45478.791666666664</v>
      </c>
      <c r="U391" s="114">
        <v>45478.90625</v>
      </c>
      <c r="V391" s="165">
        <f t="shared" si="229"/>
        <v>0.19791666666424135</v>
      </c>
      <c r="W391" s="165">
        <v>0.20833333333333334</v>
      </c>
      <c r="X391" s="165" t="str">
        <f t="shared" si="230"/>
        <v>00:00</v>
      </c>
      <c r="Y391" s="96">
        <v>0</v>
      </c>
      <c r="Z391" s="96">
        <v>58</v>
      </c>
      <c r="AA391" s="96">
        <f t="shared" si="198"/>
        <v>58</v>
      </c>
      <c r="AB391" s="97">
        <f t="shared" si="199"/>
        <v>0</v>
      </c>
      <c r="AC391" s="97">
        <f t="shared" si="200"/>
        <v>3872.7099999999996</v>
      </c>
      <c r="AD391" s="98">
        <v>3872.71</v>
      </c>
      <c r="AE391" s="98">
        <v>3958.7</v>
      </c>
      <c r="AF391" s="98">
        <v>3966</v>
      </c>
      <c r="AG391" s="98">
        <f t="shared" si="201"/>
        <v>93.289999999999964</v>
      </c>
      <c r="AH391" s="99">
        <v>672.5</v>
      </c>
      <c r="AI391" s="100">
        <f t="shared" si="202"/>
        <v>2667135</v>
      </c>
      <c r="AJ391" s="100">
        <f>(0*AH391)*2</f>
        <v>0</v>
      </c>
      <c r="AK391" s="100">
        <v>0</v>
      </c>
      <c r="AL391" s="100">
        <v>24140</v>
      </c>
      <c r="AM391" s="100">
        <v>0</v>
      </c>
      <c r="AN391" s="100">
        <v>0</v>
      </c>
      <c r="AO391" s="100">
        <v>0</v>
      </c>
      <c r="AP391" s="100">
        <f t="shared" si="226"/>
        <v>134564</v>
      </c>
      <c r="AQ391" s="101">
        <f t="shared" si="227"/>
        <v>2825839</v>
      </c>
      <c r="AR391" s="101">
        <v>0</v>
      </c>
      <c r="AS391" s="101">
        <v>0</v>
      </c>
      <c r="AT391" s="102" t="s">
        <v>33</v>
      </c>
      <c r="AU391" s="109">
        <v>2</v>
      </c>
      <c r="AV391" s="100">
        <f>9.1-6.6</f>
        <v>2.5</v>
      </c>
      <c r="AW391" s="105"/>
      <c r="AX391" s="106">
        <f t="shared" si="231"/>
        <v>2.3522440746343918</v>
      </c>
      <c r="AY391" s="101">
        <f t="shared" si="232"/>
        <v>62738</v>
      </c>
      <c r="AZ391" s="107"/>
      <c r="BA391" s="94">
        <v>45478.59375</v>
      </c>
      <c r="BB391" s="94">
        <v>45478.604166666664</v>
      </c>
      <c r="BC391" s="94">
        <v>45478.604166666664</v>
      </c>
      <c r="BD391" s="94">
        <v>45478.754861111112</v>
      </c>
      <c r="BE391" s="95">
        <f t="shared" si="233"/>
        <v>0.16111111111240461</v>
      </c>
      <c r="BF391" s="95">
        <v>3.3333333333333333E-2</v>
      </c>
      <c r="BG391" s="95">
        <v>0</v>
      </c>
      <c r="BH391" s="95">
        <f t="shared" si="234"/>
        <v>1.0416666664241347E-2</v>
      </c>
      <c r="BI391" s="95">
        <f t="shared" si="234"/>
        <v>0</v>
      </c>
      <c r="BJ391" s="95">
        <f t="shared" si="234"/>
        <v>0.15069444444816327</v>
      </c>
      <c r="BK391" s="95">
        <f t="shared" si="235"/>
        <v>0.15069444444816327</v>
      </c>
      <c r="BL391" s="95">
        <f t="shared" si="236"/>
        <v>0.11736111111482994</v>
      </c>
      <c r="BM391" s="95" t="str">
        <f t="shared" si="237"/>
        <v>00:00</v>
      </c>
      <c r="BN391" s="110"/>
    </row>
    <row r="392" spans="1:66" s="8" customFormat="1" ht="12.75" customHeight="1" x14ac:dyDescent="0.25">
      <c r="A392" s="150">
        <v>346</v>
      </c>
      <c r="B392" s="150">
        <v>17</v>
      </c>
      <c r="C392" s="90">
        <v>3</v>
      </c>
      <c r="D392" s="90" t="s">
        <v>113</v>
      </c>
      <c r="E392" s="91" t="s">
        <v>551</v>
      </c>
      <c r="F392" s="200" t="s">
        <v>29</v>
      </c>
      <c r="G392" s="200" t="s">
        <v>8</v>
      </c>
      <c r="H392" s="200" t="s">
        <v>124</v>
      </c>
      <c r="I392" s="135" t="s">
        <v>558</v>
      </c>
      <c r="J392" s="151">
        <v>45478</v>
      </c>
      <c r="K392" s="135" t="s">
        <v>117</v>
      </c>
      <c r="L392" s="135">
        <v>461000334</v>
      </c>
      <c r="M392" s="151">
        <v>45479</v>
      </c>
      <c r="N392" s="152">
        <v>45478.847222222219</v>
      </c>
      <c r="O392" s="152">
        <v>45478.822916666664</v>
      </c>
      <c r="P392" s="152">
        <v>45478.850694444445</v>
      </c>
      <c r="Q392" s="152">
        <v>45478.989583333336</v>
      </c>
      <c r="R392" s="114">
        <v>45478.847222222219</v>
      </c>
      <c r="S392" s="114" t="s">
        <v>118</v>
      </c>
      <c r="T392" s="114">
        <v>45479.006944444445</v>
      </c>
      <c r="U392" s="114">
        <v>45479.111111111109</v>
      </c>
      <c r="V392" s="165">
        <f t="shared" si="229"/>
        <v>0.16666666667151731</v>
      </c>
      <c r="W392" s="165">
        <v>0.20833333333333334</v>
      </c>
      <c r="X392" s="165" t="str">
        <f t="shared" si="230"/>
        <v>00:00</v>
      </c>
      <c r="Y392" s="96">
        <v>7</v>
      </c>
      <c r="Z392" s="96">
        <v>51</v>
      </c>
      <c r="AA392" s="96">
        <f t="shared" si="198"/>
        <v>58</v>
      </c>
      <c r="AB392" s="97">
        <f t="shared" si="199"/>
        <v>464.90379310344827</v>
      </c>
      <c r="AC392" s="97">
        <f t="shared" si="200"/>
        <v>3387.1562068965518</v>
      </c>
      <c r="AD392" s="98">
        <v>3852.06</v>
      </c>
      <c r="AE392" s="98">
        <v>3948.2</v>
      </c>
      <c r="AF392" s="98">
        <v>3956.4</v>
      </c>
      <c r="AG392" s="98">
        <f t="shared" si="201"/>
        <v>104.34000000000015</v>
      </c>
      <c r="AH392" s="99">
        <v>797.2</v>
      </c>
      <c r="AI392" s="100">
        <f t="shared" si="202"/>
        <v>3154042.08</v>
      </c>
      <c r="AJ392" s="100">
        <f>(0.8*AH392)*2</f>
        <v>1275.5200000000002</v>
      </c>
      <c r="AK392" s="100">
        <v>0</v>
      </c>
      <c r="AL392" s="100">
        <v>0</v>
      </c>
      <c r="AM392" s="100">
        <v>0</v>
      </c>
      <c r="AN392" s="100">
        <v>0</v>
      </c>
      <c r="AO392" s="100">
        <v>0</v>
      </c>
      <c r="AP392" s="100">
        <f t="shared" si="226"/>
        <v>157766</v>
      </c>
      <c r="AQ392" s="101">
        <f t="shared" si="227"/>
        <v>3313084</v>
      </c>
      <c r="AR392" s="101">
        <v>0</v>
      </c>
      <c r="AS392" s="101">
        <v>0</v>
      </c>
      <c r="AT392" s="102" t="s">
        <v>33</v>
      </c>
      <c r="AU392" s="109" t="s">
        <v>118</v>
      </c>
      <c r="AV392" s="100">
        <v>0</v>
      </c>
      <c r="AW392" s="105"/>
      <c r="AX392" s="106">
        <f t="shared" si="231"/>
        <v>2.6372459811950293</v>
      </c>
      <c r="AY392" s="101">
        <f t="shared" si="232"/>
        <v>83180</v>
      </c>
      <c r="AZ392" s="107"/>
      <c r="BA392" s="94">
        <v>45478.847222222219</v>
      </c>
      <c r="BB392" s="94">
        <v>45478.850694444445</v>
      </c>
      <c r="BC392" s="94">
        <v>45478.850694444445</v>
      </c>
      <c r="BD392" s="94">
        <v>45478.984027777777</v>
      </c>
      <c r="BE392" s="95">
        <f t="shared" si="233"/>
        <v>0.1368055555576575</v>
      </c>
      <c r="BF392" s="95">
        <v>0</v>
      </c>
      <c r="BG392" s="95">
        <v>0</v>
      </c>
      <c r="BH392" s="95">
        <f t="shared" si="234"/>
        <v>3.4722222262644209E-3</v>
      </c>
      <c r="BI392" s="95">
        <f t="shared" si="234"/>
        <v>0</v>
      </c>
      <c r="BJ392" s="95">
        <f t="shared" si="234"/>
        <v>0.13333333333139308</v>
      </c>
      <c r="BK392" s="95">
        <f t="shared" si="235"/>
        <v>0.13333333333139308</v>
      </c>
      <c r="BL392" s="95">
        <f t="shared" si="236"/>
        <v>0.13333333333139308</v>
      </c>
      <c r="BM392" s="95" t="str">
        <f t="shared" si="237"/>
        <v>00:00</v>
      </c>
      <c r="BN392" s="110"/>
    </row>
    <row r="393" spans="1:66" s="8" customFormat="1" ht="12.75" customHeight="1" x14ac:dyDescent="0.25">
      <c r="A393" s="150">
        <v>347</v>
      </c>
      <c r="B393" s="150">
        <v>18</v>
      </c>
      <c r="C393" s="90">
        <v>11</v>
      </c>
      <c r="D393" s="90" t="s">
        <v>113</v>
      </c>
      <c r="E393" s="91" t="s">
        <v>366</v>
      </c>
      <c r="F393" s="90" t="s">
        <v>13</v>
      </c>
      <c r="G393" s="90" t="s">
        <v>8</v>
      </c>
      <c r="H393" s="90" t="s">
        <v>131</v>
      </c>
      <c r="I393" s="135" t="s">
        <v>559</v>
      </c>
      <c r="J393" s="151">
        <v>45478</v>
      </c>
      <c r="K393" s="135" t="s">
        <v>122</v>
      </c>
      <c r="L393" s="135">
        <v>282000987</v>
      </c>
      <c r="M393" s="151">
        <v>45479</v>
      </c>
      <c r="N393" s="152">
        <v>45479.135416666664</v>
      </c>
      <c r="O393" s="152">
        <v>45479.135416666664</v>
      </c>
      <c r="P393" s="152">
        <v>45479.170138888891</v>
      </c>
      <c r="Q393" s="152">
        <v>45479.34375</v>
      </c>
      <c r="R393" s="114" t="s">
        <v>118</v>
      </c>
      <c r="S393" s="114">
        <v>45479.378472222219</v>
      </c>
      <c r="T393" s="114">
        <v>45479.395833333336</v>
      </c>
      <c r="U393" s="114">
        <v>45479.538194444445</v>
      </c>
      <c r="V393" s="165">
        <f t="shared" si="229"/>
        <v>0.20833333333575865</v>
      </c>
      <c r="W393" s="165">
        <v>0.20833333333333334</v>
      </c>
      <c r="X393" s="165">
        <f t="shared" si="230"/>
        <v>2.4253099528692701E-12</v>
      </c>
      <c r="Y393" s="96">
        <v>0</v>
      </c>
      <c r="Z393" s="96">
        <v>57</v>
      </c>
      <c r="AA393" s="96">
        <f t="shared" si="198"/>
        <v>57</v>
      </c>
      <c r="AB393" s="97">
        <f t="shared" si="199"/>
        <v>0</v>
      </c>
      <c r="AC393" s="97">
        <f t="shared" si="200"/>
        <v>3969.7999999999997</v>
      </c>
      <c r="AD393" s="98">
        <v>3969.8</v>
      </c>
      <c r="AE393" s="98">
        <v>3933</v>
      </c>
      <c r="AF393" s="98">
        <v>3977</v>
      </c>
      <c r="AG393" s="98">
        <f t="shared" si="201"/>
        <v>7.1999999999998181</v>
      </c>
      <c r="AH393" s="99">
        <v>1398.7</v>
      </c>
      <c r="AI393" s="100">
        <f t="shared" si="202"/>
        <v>5562629.9000000004</v>
      </c>
      <c r="AJ393" s="100">
        <f>(0*AH393)*2</f>
        <v>0</v>
      </c>
      <c r="AK393" s="100">
        <v>0</v>
      </c>
      <c r="AL393" s="100">
        <v>47980</v>
      </c>
      <c r="AM393" s="100">
        <v>0</v>
      </c>
      <c r="AN393" s="100">
        <v>0</v>
      </c>
      <c r="AO393" s="100">
        <v>0</v>
      </c>
      <c r="AP393" s="100">
        <f t="shared" si="226"/>
        <v>280531</v>
      </c>
      <c r="AQ393" s="101">
        <f t="shared" si="227"/>
        <v>5891141</v>
      </c>
      <c r="AR393" s="101">
        <v>0</v>
      </c>
      <c r="AS393" s="101">
        <v>0</v>
      </c>
      <c r="AT393" s="102" t="s">
        <v>33</v>
      </c>
      <c r="AU393" s="109">
        <v>34</v>
      </c>
      <c r="AV393" s="100">
        <f>77.2-37.4</f>
        <v>39.800000000000004</v>
      </c>
      <c r="AW393" s="105"/>
      <c r="AX393" s="106">
        <f t="shared" si="231"/>
        <v>0.18104098566758406</v>
      </c>
      <c r="AY393" s="101">
        <f t="shared" si="232"/>
        <v>10071</v>
      </c>
      <c r="AZ393" s="107"/>
      <c r="BA393" s="94">
        <v>45479.135416666664</v>
      </c>
      <c r="BB393" s="94">
        <v>45479.170138888891</v>
      </c>
      <c r="BC393" s="94">
        <v>45479.180555555555</v>
      </c>
      <c r="BD393" s="94">
        <v>45479.37222222222</v>
      </c>
      <c r="BE393" s="95">
        <f t="shared" si="233"/>
        <v>0.23680555555620231</v>
      </c>
      <c r="BF393" s="95">
        <v>0</v>
      </c>
      <c r="BG393" s="95">
        <v>4.7222222222222221E-2</v>
      </c>
      <c r="BH393" s="95">
        <f t="shared" si="234"/>
        <v>3.4722222226264421E-2</v>
      </c>
      <c r="BI393" s="95">
        <f t="shared" si="234"/>
        <v>1.0416666664241347E-2</v>
      </c>
      <c r="BJ393" s="95">
        <f t="shared" si="234"/>
        <v>0.19166666666569654</v>
      </c>
      <c r="BK393" s="95">
        <f t="shared" si="235"/>
        <v>0.20208333332993789</v>
      </c>
      <c r="BL393" s="95">
        <f t="shared" si="236"/>
        <v>0.15486111110771567</v>
      </c>
      <c r="BM393" s="95">
        <f t="shared" si="237"/>
        <v>2.8472222222868965E-2</v>
      </c>
      <c r="BN393" s="110"/>
    </row>
    <row r="394" spans="1:66" s="8" customFormat="1" ht="12.75" customHeight="1" x14ac:dyDescent="0.25">
      <c r="A394" s="150">
        <v>348</v>
      </c>
      <c r="B394" s="150">
        <v>19</v>
      </c>
      <c r="C394" s="90">
        <v>1</v>
      </c>
      <c r="D394" s="90" t="s">
        <v>148</v>
      </c>
      <c r="E394" s="91" t="s">
        <v>560</v>
      </c>
      <c r="F394" s="90" t="s">
        <v>19</v>
      </c>
      <c r="G394" s="90" t="s">
        <v>17</v>
      </c>
      <c r="H394" s="90" t="s">
        <v>150</v>
      </c>
      <c r="I394" s="135" t="s">
        <v>561</v>
      </c>
      <c r="J394" s="151">
        <v>45478</v>
      </c>
      <c r="K394" s="135" t="s">
        <v>117</v>
      </c>
      <c r="L394" s="135">
        <v>461000335</v>
      </c>
      <c r="M394" s="151">
        <v>45479</v>
      </c>
      <c r="N394" s="152">
        <v>45479.333333333336</v>
      </c>
      <c r="O394" s="152">
        <v>45479.333333333336</v>
      </c>
      <c r="P394" s="152">
        <v>45479.336805555555</v>
      </c>
      <c r="Q394" s="152">
        <v>45479.541666666664</v>
      </c>
      <c r="R394" s="114" t="s">
        <v>118</v>
      </c>
      <c r="S394" s="114" t="s">
        <v>118</v>
      </c>
      <c r="T394" s="114">
        <v>45479.552083333336</v>
      </c>
      <c r="U394" s="114">
        <v>45479.697916666664</v>
      </c>
      <c r="V394" s="165">
        <f t="shared" si="229"/>
        <v>0.20833333332848269</v>
      </c>
      <c r="W394" s="165">
        <v>0.20833333333333334</v>
      </c>
      <c r="X394" s="165" t="str">
        <f t="shared" si="230"/>
        <v>00:00</v>
      </c>
      <c r="Y394" s="96">
        <v>1</v>
      </c>
      <c r="Z394" s="96">
        <v>57</v>
      </c>
      <c r="AA394" s="96">
        <f t="shared" si="198"/>
        <v>58</v>
      </c>
      <c r="AB394" s="97">
        <f t="shared" si="199"/>
        <v>69.00155172413794</v>
      </c>
      <c r="AC394" s="97">
        <f t="shared" si="200"/>
        <v>3933.0884482758624</v>
      </c>
      <c r="AD394" s="98">
        <v>4002.09</v>
      </c>
      <c r="AE394" s="98">
        <v>3962.5</v>
      </c>
      <c r="AF394" s="98">
        <v>4009</v>
      </c>
      <c r="AG394" s="98">
        <f t="shared" si="201"/>
        <v>6.9099999999998545</v>
      </c>
      <c r="AH394" s="99">
        <v>672.5</v>
      </c>
      <c r="AI394" s="100">
        <f t="shared" si="202"/>
        <v>2696052.5</v>
      </c>
      <c r="AJ394" s="100">
        <f>(0*AH394)*2</f>
        <v>0</v>
      </c>
      <c r="AK394" s="100">
        <v>0</v>
      </c>
      <c r="AL394" s="100">
        <v>48280</v>
      </c>
      <c r="AM394" s="100">
        <v>0</v>
      </c>
      <c r="AN394" s="100">
        <v>0</v>
      </c>
      <c r="AO394" s="100">
        <v>0</v>
      </c>
      <c r="AP394" s="100">
        <f t="shared" si="226"/>
        <v>137217</v>
      </c>
      <c r="AQ394" s="101">
        <f t="shared" si="227"/>
        <v>2881550</v>
      </c>
      <c r="AR394" s="101">
        <v>0</v>
      </c>
      <c r="AS394" s="101">
        <v>0</v>
      </c>
      <c r="AT394" s="102" t="s">
        <v>33</v>
      </c>
      <c r="AU394" s="109">
        <v>34</v>
      </c>
      <c r="AV394" s="100">
        <f>82.72-39.72</f>
        <v>43</v>
      </c>
      <c r="AW394" s="105"/>
      <c r="AX394" s="106">
        <f t="shared" si="231"/>
        <v>0.17236218508355836</v>
      </c>
      <c r="AY394" s="101">
        <f t="shared" si="232"/>
        <v>4647</v>
      </c>
      <c r="AZ394" s="107"/>
      <c r="BA394" s="94">
        <v>45479.333333333336</v>
      </c>
      <c r="BB394" s="94">
        <v>45479.336805555555</v>
      </c>
      <c r="BC394" s="94">
        <v>45479.427777777775</v>
      </c>
      <c r="BD394" s="94">
        <v>45479.552777777775</v>
      </c>
      <c r="BE394" s="95">
        <f t="shared" si="233"/>
        <v>0.21944444443943212</v>
      </c>
      <c r="BF394" s="95">
        <v>2.7777777777777776E-2</v>
      </c>
      <c r="BG394" s="95">
        <v>6.5972222222222224E-2</v>
      </c>
      <c r="BH394" s="95">
        <f t="shared" si="234"/>
        <v>3.4722222189884633E-3</v>
      </c>
      <c r="BI394" s="95">
        <f t="shared" si="234"/>
        <v>9.0972222220443655E-2</v>
      </c>
      <c r="BJ394" s="95">
        <f t="shared" si="234"/>
        <v>0.125</v>
      </c>
      <c r="BK394" s="95">
        <f t="shared" si="235"/>
        <v>0.21597222222044365</v>
      </c>
      <c r="BL394" s="95">
        <f t="shared" si="236"/>
        <v>0.12222222222044364</v>
      </c>
      <c r="BM394" s="95">
        <f t="shared" si="237"/>
        <v>1.1111111106098776E-2</v>
      </c>
      <c r="BN394" s="110"/>
    </row>
    <row r="395" spans="1:66" s="8" customFormat="1" ht="12.75" customHeight="1" x14ac:dyDescent="0.25">
      <c r="A395" s="150">
        <v>349</v>
      </c>
      <c r="B395" s="150">
        <v>20</v>
      </c>
      <c r="C395" s="90">
        <v>2</v>
      </c>
      <c r="D395" s="90" t="s">
        <v>148</v>
      </c>
      <c r="E395" s="91" t="s">
        <v>560</v>
      </c>
      <c r="F395" s="90" t="s">
        <v>19</v>
      </c>
      <c r="G395" s="90" t="s">
        <v>17</v>
      </c>
      <c r="H395" s="90" t="s">
        <v>150</v>
      </c>
      <c r="I395" s="135" t="s">
        <v>562</v>
      </c>
      <c r="J395" s="151">
        <v>45478</v>
      </c>
      <c r="K395" s="135" t="s">
        <v>122</v>
      </c>
      <c r="L395" s="135">
        <v>461000336</v>
      </c>
      <c r="M395" s="151">
        <v>45480</v>
      </c>
      <c r="N395" s="152">
        <v>45479.677083333336</v>
      </c>
      <c r="O395" s="152">
        <v>45479.677083333336</v>
      </c>
      <c r="P395" s="152">
        <v>45479.680555555555</v>
      </c>
      <c r="Q395" s="152">
        <v>45479.875</v>
      </c>
      <c r="R395" s="114" t="s">
        <v>118</v>
      </c>
      <c r="S395" s="114">
        <v>45479.913194444445</v>
      </c>
      <c r="T395" s="114">
        <v>45479.9375</v>
      </c>
      <c r="U395" s="114">
        <v>45480.03125</v>
      </c>
      <c r="V395" s="165">
        <f t="shared" si="229"/>
        <v>0.19791666666424135</v>
      </c>
      <c r="W395" s="165">
        <v>0.20833333333333334</v>
      </c>
      <c r="X395" s="165" t="str">
        <f t="shared" si="230"/>
        <v>00:00</v>
      </c>
      <c r="Y395" s="96">
        <v>1</v>
      </c>
      <c r="Z395" s="96">
        <v>58</v>
      </c>
      <c r="AA395" s="96">
        <f t="shared" si="198"/>
        <v>59</v>
      </c>
      <c r="AB395" s="97">
        <f t="shared" si="199"/>
        <v>67.613898305084746</v>
      </c>
      <c r="AC395" s="97">
        <f t="shared" si="200"/>
        <v>3921.6061016949152</v>
      </c>
      <c r="AD395" s="98">
        <v>3989.22</v>
      </c>
      <c r="AE395" s="98">
        <v>4056</v>
      </c>
      <c r="AF395" s="98">
        <v>4061.2</v>
      </c>
      <c r="AG395" s="98">
        <f t="shared" si="201"/>
        <v>71.980000000000018</v>
      </c>
      <c r="AH395" s="99">
        <v>672.5</v>
      </c>
      <c r="AI395" s="100">
        <f t="shared" si="202"/>
        <v>2731157</v>
      </c>
      <c r="AJ395" s="100">
        <f>(0*AH395)*2</f>
        <v>0</v>
      </c>
      <c r="AK395" s="100">
        <v>0</v>
      </c>
      <c r="AL395" s="100">
        <v>0</v>
      </c>
      <c r="AM395" s="100">
        <v>0</v>
      </c>
      <c r="AN395" s="100">
        <v>0</v>
      </c>
      <c r="AO395" s="100">
        <v>0</v>
      </c>
      <c r="AP395" s="100">
        <f t="shared" si="226"/>
        <v>136558</v>
      </c>
      <c r="AQ395" s="101">
        <f t="shared" si="227"/>
        <v>2867715</v>
      </c>
      <c r="AR395" s="101">
        <v>0</v>
      </c>
      <c r="AS395" s="101">
        <v>0</v>
      </c>
      <c r="AT395" s="102" t="s">
        <v>33</v>
      </c>
      <c r="AU395" s="109" t="s">
        <v>118</v>
      </c>
      <c r="AV395" s="100">
        <v>0</v>
      </c>
      <c r="AW395" s="105"/>
      <c r="AX395" s="106">
        <f t="shared" si="231"/>
        <v>1.7723825470304351</v>
      </c>
      <c r="AY395" s="101">
        <f t="shared" si="232"/>
        <v>48407</v>
      </c>
      <c r="AZ395" s="107"/>
      <c r="BA395" s="94">
        <v>45479.677083333336</v>
      </c>
      <c r="BB395" s="94">
        <v>45479.680555555555</v>
      </c>
      <c r="BC395" s="94">
        <v>45479.746527777781</v>
      </c>
      <c r="BD395" s="94">
        <v>45479.904166666667</v>
      </c>
      <c r="BE395" s="95">
        <f t="shared" si="233"/>
        <v>0.22708333333139308</v>
      </c>
      <c r="BF395" s="95">
        <v>7.6388888888888895E-2</v>
      </c>
      <c r="BG395" s="95">
        <v>1.0416666666666666E-2</v>
      </c>
      <c r="BH395" s="95">
        <f t="shared" si="234"/>
        <v>3.4722222189884633E-3</v>
      </c>
      <c r="BI395" s="95">
        <f t="shared" si="234"/>
        <v>6.5972222226264421E-2</v>
      </c>
      <c r="BJ395" s="95">
        <f t="shared" si="234"/>
        <v>0.15763888888614019</v>
      </c>
      <c r="BK395" s="95">
        <f t="shared" si="235"/>
        <v>0.22361111111240461</v>
      </c>
      <c r="BL395" s="95">
        <f t="shared" si="236"/>
        <v>0.13680555555684906</v>
      </c>
      <c r="BM395" s="95">
        <f t="shared" si="237"/>
        <v>1.8749999998059735E-2</v>
      </c>
      <c r="BN395" s="110"/>
    </row>
    <row r="396" spans="1:66" s="8" customFormat="1" ht="12.75" customHeight="1" x14ac:dyDescent="0.25">
      <c r="A396" s="150">
        <v>350</v>
      </c>
      <c r="B396" s="150">
        <v>21</v>
      </c>
      <c r="C396" s="90">
        <v>3</v>
      </c>
      <c r="D396" s="90" t="s">
        <v>148</v>
      </c>
      <c r="E396" s="91" t="s">
        <v>560</v>
      </c>
      <c r="F396" s="111" t="s">
        <v>19</v>
      </c>
      <c r="G396" s="111" t="s">
        <v>17</v>
      </c>
      <c r="H396" s="111" t="s">
        <v>150</v>
      </c>
      <c r="I396" s="135" t="s">
        <v>563</v>
      </c>
      <c r="J396" s="151">
        <v>45479</v>
      </c>
      <c r="K396" s="135" t="s">
        <v>117</v>
      </c>
      <c r="L396" s="135">
        <v>461000337</v>
      </c>
      <c r="M396" s="151">
        <v>45480</v>
      </c>
      <c r="N396" s="152">
        <v>45479.861111111109</v>
      </c>
      <c r="O396" s="152">
        <v>45479.861111111109</v>
      </c>
      <c r="P396" s="152">
        <v>45479.864583333336</v>
      </c>
      <c r="Q396" s="152">
        <v>45480.069444444445</v>
      </c>
      <c r="R396" s="114" t="s">
        <v>118</v>
      </c>
      <c r="S396" s="114">
        <v>45480.104166666664</v>
      </c>
      <c r="T396" s="114">
        <v>45480.114583333336</v>
      </c>
      <c r="U396" s="114">
        <v>45480.175694444442</v>
      </c>
      <c r="V396" s="165">
        <f t="shared" si="229"/>
        <v>0.20833333333575865</v>
      </c>
      <c r="W396" s="165">
        <v>0.20833333333333334</v>
      </c>
      <c r="X396" s="165">
        <f t="shared" si="230"/>
        <v>2.4253099528692701E-12</v>
      </c>
      <c r="Y396" s="96">
        <v>1</v>
      </c>
      <c r="Z396" s="96">
        <v>57</v>
      </c>
      <c r="AA396" s="96">
        <f t="shared" si="198"/>
        <v>58</v>
      </c>
      <c r="AB396" s="97">
        <f t="shared" si="199"/>
        <v>66.803275862068972</v>
      </c>
      <c r="AC396" s="97">
        <f t="shared" si="200"/>
        <v>3807.7867241379313</v>
      </c>
      <c r="AD396" s="98">
        <v>3874.59</v>
      </c>
      <c r="AE396" s="98">
        <v>3982.2</v>
      </c>
      <c r="AF396" s="98">
        <v>3983.8</v>
      </c>
      <c r="AG396" s="98">
        <f t="shared" si="201"/>
        <v>109.21000000000004</v>
      </c>
      <c r="AH396" s="99">
        <v>672.5</v>
      </c>
      <c r="AI396" s="100">
        <f t="shared" si="202"/>
        <v>2679105.5</v>
      </c>
      <c r="AJ396" s="100">
        <f>(0*AH396)*2</f>
        <v>0</v>
      </c>
      <c r="AK396" s="100">
        <v>0</v>
      </c>
      <c r="AL396" s="100">
        <v>0</v>
      </c>
      <c r="AM396" s="100">
        <v>0</v>
      </c>
      <c r="AN396" s="100">
        <v>0</v>
      </c>
      <c r="AO396" s="100">
        <v>0</v>
      </c>
      <c r="AP396" s="100">
        <f t="shared" si="226"/>
        <v>133956</v>
      </c>
      <c r="AQ396" s="101">
        <f t="shared" si="227"/>
        <v>2813062</v>
      </c>
      <c r="AR396" s="101">
        <v>0</v>
      </c>
      <c r="AS396" s="101">
        <v>0</v>
      </c>
      <c r="AT396" s="102" t="s">
        <v>33</v>
      </c>
      <c r="AU396" s="109" t="s">
        <v>118</v>
      </c>
      <c r="AV396" s="100">
        <v>0</v>
      </c>
      <c r="AW396" s="105"/>
      <c r="AX396" s="106">
        <f t="shared" si="231"/>
        <v>2.7413524775340132</v>
      </c>
      <c r="AY396" s="101">
        <f t="shared" si="232"/>
        <v>73444</v>
      </c>
      <c r="AZ396" s="107"/>
      <c r="BA396" s="94">
        <v>45479.861111111109</v>
      </c>
      <c r="BB396" s="94">
        <v>45479.864583333336</v>
      </c>
      <c r="BC396" s="94">
        <v>45479.916666666664</v>
      </c>
      <c r="BD396" s="94">
        <v>45480.097916666666</v>
      </c>
      <c r="BE396" s="95">
        <f t="shared" si="233"/>
        <v>0.23680555555620231</v>
      </c>
      <c r="BF396" s="95">
        <v>6.3194444444444442E-2</v>
      </c>
      <c r="BG396" s="95">
        <v>4.0972222222222222E-2</v>
      </c>
      <c r="BH396" s="95">
        <f t="shared" si="234"/>
        <v>3.4722222262644209E-3</v>
      </c>
      <c r="BI396" s="95">
        <f t="shared" si="234"/>
        <v>5.2083333328482695E-2</v>
      </c>
      <c r="BJ396" s="95">
        <f t="shared" si="234"/>
        <v>0.18125000000145519</v>
      </c>
      <c r="BK396" s="95">
        <f t="shared" si="235"/>
        <v>0.23333333332993789</v>
      </c>
      <c r="BL396" s="95">
        <f t="shared" si="236"/>
        <v>0.12916666666327123</v>
      </c>
      <c r="BM396" s="95">
        <f t="shared" si="237"/>
        <v>2.8472222222868965E-2</v>
      </c>
      <c r="BN396" s="110"/>
    </row>
    <row r="397" spans="1:66" s="8" customFormat="1" ht="12.75" customHeight="1" x14ac:dyDescent="0.25">
      <c r="A397" s="150">
        <v>351</v>
      </c>
      <c r="B397" s="150">
        <v>22</v>
      </c>
      <c r="C397" s="90">
        <v>4</v>
      </c>
      <c r="D397" s="90" t="s">
        <v>113</v>
      </c>
      <c r="E397" s="91" t="s">
        <v>551</v>
      </c>
      <c r="F397" s="200" t="s">
        <v>29</v>
      </c>
      <c r="G397" s="200" t="s">
        <v>8</v>
      </c>
      <c r="H397" s="200" t="s">
        <v>124</v>
      </c>
      <c r="I397" s="135" t="s">
        <v>564</v>
      </c>
      <c r="J397" s="151">
        <v>45479</v>
      </c>
      <c r="K397" s="135" t="s">
        <v>117</v>
      </c>
      <c r="L397" s="135">
        <v>261005824</v>
      </c>
      <c r="M397" s="151">
        <v>45480</v>
      </c>
      <c r="N397" s="152">
        <v>45480.34375</v>
      </c>
      <c r="O397" s="152">
        <v>45480.34375</v>
      </c>
      <c r="P397" s="152">
        <v>45480.350694444445</v>
      </c>
      <c r="Q397" s="152">
        <v>45480.552083333336</v>
      </c>
      <c r="R397" s="114" t="s">
        <v>118</v>
      </c>
      <c r="S397" s="114" t="s">
        <v>118</v>
      </c>
      <c r="T397" s="114">
        <v>45480.631944444445</v>
      </c>
      <c r="U397" s="114">
        <v>45480.71597222222</v>
      </c>
      <c r="V397" s="165">
        <f t="shared" si="229"/>
        <v>0.20833333333575865</v>
      </c>
      <c r="W397" s="165">
        <v>0.20833333333333334</v>
      </c>
      <c r="X397" s="165">
        <f t="shared" si="230"/>
        <v>2.4253099528692701E-12</v>
      </c>
      <c r="Y397" s="96">
        <v>4</v>
      </c>
      <c r="Z397" s="96">
        <v>55</v>
      </c>
      <c r="AA397" s="96">
        <f t="shared" si="198"/>
        <v>59</v>
      </c>
      <c r="AB397" s="97">
        <f t="shared" si="199"/>
        <v>268.60881355932202</v>
      </c>
      <c r="AC397" s="97">
        <f t="shared" si="200"/>
        <v>3693.3711864406778</v>
      </c>
      <c r="AD397" s="98">
        <v>3961.98</v>
      </c>
      <c r="AE397" s="98">
        <v>4039.4</v>
      </c>
      <c r="AF397" s="98">
        <v>4047.2</v>
      </c>
      <c r="AG397" s="98">
        <f t="shared" si="201"/>
        <v>85.2199999999998</v>
      </c>
      <c r="AH397" s="99">
        <v>797.2</v>
      </c>
      <c r="AI397" s="100">
        <f t="shared" si="202"/>
        <v>3226427.84</v>
      </c>
      <c r="AJ397" s="100">
        <f>(0.2*AH397)*2</f>
        <v>318.88000000000005</v>
      </c>
      <c r="AK397" s="100">
        <v>0</v>
      </c>
      <c r="AL397" s="100">
        <v>0</v>
      </c>
      <c r="AM397" s="100">
        <v>0</v>
      </c>
      <c r="AN397" s="100">
        <v>0</v>
      </c>
      <c r="AO397" s="100">
        <v>0</v>
      </c>
      <c r="AP397" s="100">
        <f t="shared" si="226"/>
        <v>161338</v>
      </c>
      <c r="AQ397" s="101">
        <f t="shared" si="227"/>
        <v>3388085</v>
      </c>
      <c r="AR397" s="101">
        <v>0</v>
      </c>
      <c r="AS397" s="101">
        <v>0</v>
      </c>
      <c r="AT397" s="102" t="s">
        <v>33</v>
      </c>
      <c r="AU397" s="109" t="s">
        <v>118</v>
      </c>
      <c r="AV397" s="100">
        <v>0</v>
      </c>
      <c r="AW397" s="105"/>
      <c r="AX397" s="106">
        <f t="shared" si="231"/>
        <v>2.1056532911642569</v>
      </c>
      <c r="AY397" s="101">
        <f t="shared" si="232"/>
        <v>67938</v>
      </c>
      <c r="AZ397" s="107"/>
      <c r="BA397" s="94">
        <v>45480.34375</v>
      </c>
      <c r="BB397" s="94">
        <v>45480.350694444445</v>
      </c>
      <c r="BC397" s="94">
        <v>45480.354166666664</v>
      </c>
      <c r="BD397" s="94">
        <v>45480.506944444445</v>
      </c>
      <c r="BE397" s="95">
        <f t="shared" si="233"/>
        <v>0.16319444444525288</v>
      </c>
      <c r="BF397" s="95">
        <v>3.472222222222222E-3</v>
      </c>
      <c r="BG397" s="95">
        <v>3.472222222222222E-3</v>
      </c>
      <c r="BH397" s="95">
        <f t="shared" si="234"/>
        <v>6.9444444452528842E-3</v>
      </c>
      <c r="BI397" s="95">
        <f t="shared" si="234"/>
        <v>3.4722222189884633E-3</v>
      </c>
      <c r="BJ397" s="95">
        <f t="shared" si="234"/>
        <v>0.15277777778101154</v>
      </c>
      <c r="BK397" s="95">
        <f t="shared" si="235"/>
        <v>0.15625</v>
      </c>
      <c r="BL397" s="95">
        <f t="shared" si="236"/>
        <v>0.14930555555555558</v>
      </c>
      <c r="BM397" s="95" t="str">
        <f t="shared" si="237"/>
        <v>00:00</v>
      </c>
      <c r="BN397" s="110"/>
    </row>
    <row r="398" spans="1:66" s="8" customFormat="1" ht="12.75" customHeight="1" x14ac:dyDescent="0.25">
      <c r="A398" s="150">
        <v>352</v>
      </c>
      <c r="B398" s="150">
        <v>23</v>
      </c>
      <c r="C398" s="90">
        <v>4</v>
      </c>
      <c r="D398" s="90" t="s">
        <v>148</v>
      </c>
      <c r="E398" s="91" t="s">
        <v>560</v>
      </c>
      <c r="F398" s="90" t="s">
        <v>19</v>
      </c>
      <c r="G398" s="90" t="s">
        <v>17</v>
      </c>
      <c r="H398" s="90" t="s">
        <v>150</v>
      </c>
      <c r="I398" s="135" t="s">
        <v>565</v>
      </c>
      <c r="J398" s="151">
        <v>45479</v>
      </c>
      <c r="K398" s="135" t="s">
        <v>122</v>
      </c>
      <c r="L398" s="135">
        <v>461000338</v>
      </c>
      <c r="M398" s="151">
        <v>45480</v>
      </c>
      <c r="N398" s="152">
        <v>45480.614583333336</v>
      </c>
      <c r="O398" s="152">
        <v>45480.583333333336</v>
      </c>
      <c r="P398" s="152">
        <v>45480.618055555555</v>
      </c>
      <c r="Q398" s="152">
        <v>45480.791666666664</v>
      </c>
      <c r="R398" s="114">
        <v>45480.614583333336</v>
      </c>
      <c r="S398" s="114" t="s">
        <v>118</v>
      </c>
      <c r="T398" s="114">
        <v>45480.833333333336</v>
      </c>
      <c r="U398" s="114">
        <v>45480.875</v>
      </c>
      <c r="V398" s="165">
        <f t="shared" si="229"/>
        <v>0.20833333332848269</v>
      </c>
      <c r="W398" s="165">
        <v>0.20833333333333334</v>
      </c>
      <c r="X398" s="165" t="str">
        <f t="shared" si="230"/>
        <v>00:00</v>
      </c>
      <c r="Y398" s="96">
        <v>0</v>
      </c>
      <c r="Z398" s="96">
        <v>59</v>
      </c>
      <c r="AA398" s="96">
        <f t="shared" si="198"/>
        <v>59</v>
      </c>
      <c r="AB398" s="97">
        <f t="shared" si="199"/>
        <v>0</v>
      </c>
      <c r="AC398" s="97">
        <f t="shared" si="200"/>
        <v>4050.01</v>
      </c>
      <c r="AD398" s="98">
        <v>4050.01</v>
      </c>
      <c r="AE398" s="98">
        <v>4060.2</v>
      </c>
      <c r="AF398" s="98">
        <v>4073.4</v>
      </c>
      <c r="AG398" s="98">
        <f t="shared" si="201"/>
        <v>23.389999999999873</v>
      </c>
      <c r="AH398" s="99">
        <v>672.5</v>
      </c>
      <c r="AI398" s="100">
        <f t="shared" si="202"/>
        <v>2739361.5</v>
      </c>
      <c r="AJ398" s="100">
        <f>(1.6*AH398)*2</f>
        <v>2152</v>
      </c>
      <c r="AK398" s="100">
        <v>0</v>
      </c>
      <c r="AL398" s="100">
        <v>0</v>
      </c>
      <c r="AM398" s="100">
        <v>0</v>
      </c>
      <c r="AN398" s="100">
        <v>0</v>
      </c>
      <c r="AO398" s="100">
        <v>0</v>
      </c>
      <c r="AP398" s="100">
        <f t="shared" si="226"/>
        <v>137076</v>
      </c>
      <c r="AQ398" s="101">
        <f t="shared" si="227"/>
        <v>2878590</v>
      </c>
      <c r="AR398" s="101">
        <v>0</v>
      </c>
      <c r="AS398" s="101">
        <v>0</v>
      </c>
      <c r="AT398" s="102" t="s">
        <v>33</v>
      </c>
      <c r="AU398" s="109" t="s">
        <v>118</v>
      </c>
      <c r="AV398" s="100">
        <v>0</v>
      </c>
      <c r="AW398" s="105"/>
      <c r="AX398" s="106">
        <f t="shared" si="231"/>
        <v>0.57421318800019328</v>
      </c>
      <c r="AY398" s="101">
        <f t="shared" si="232"/>
        <v>15730</v>
      </c>
      <c r="AZ398" s="107"/>
      <c r="BA398" s="94">
        <v>45480.59375</v>
      </c>
      <c r="BB398" s="94">
        <v>45480.618055555555</v>
      </c>
      <c r="BC398" s="94">
        <v>45480.625</v>
      </c>
      <c r="BD398" s="94">
        <v>45480.772916666669</v>
      </c>
      <c r="BE398" s="95">
        <f t="shared" si="233"/>
        <v>0.17916666666860692</v>
      </c>
      <c r="BF398" s="95">
        <v>2.9166666666666667E-2</v>
      </c>
      <c r="BG398" s="95">
        <v>0</v>
      </c>
      <c r="BH398" s="95">
        <f t="shared" si="234"/>
        <v>2.4305555554747116E-2</v>
      </c>
      <c r="BI398" s="95">
        <f t="shared" si="234"/>
        <v>6.9444444452528842E-3</v>
      </c>
      <c r="BJ398" s="95">
        <f t="shared" si="234"/>
        <v>0.14791666666860692</v>
      </c>
      <c r="BK398" s="95">
        <f t="shared" si="235"/>
        <v>0.15486111111385981</v>
      </c>
      <c r="BL398" s="95">
        <f t="shared" si="236"/>
        <v>0.12569444444719313</v>
      </c>
      <c r="BM398" s="95" t="str">
        <f t="shared" si="237"/>
        <v>00:00</v>
      </c>
      <c r="BN398" s="110"/>
    </row>
    <row r="399" spans="1:66" s="8" customFormat="1" ht="12.75" customHeight="1" x14ac:dyDescent="0.25">
      <c r="A399" s="150">
        <v>353</v>
      </c>
      <c r="B399" s="150">
        <v>24</v>
      </c>
      <c r="C399" s="90">
        <v>5</v>
      </c>
      <c r="D399" s="90" t="s">
        <v>148</v>
      </c>
      <c r="E399" s="91" t="s">
        <v>560</v>
      </c>
      <c r="F399" s="90" t="s">
        <v>19</v>
      </c>
      <c r="G399" s="90" t="s">
        <v>17</v>
      </c>
      <c r="H399" s="90" t="s">
        <v>150</v>
      </c>
      <c r="I399" s="135" t="s">
        <v>566</v>
      </c>
      <c r="J399" s="151">
        <v>45479</v>
      </c>
      <c r="K399" s="135" t="s">
        <v>117</v>
      </c>
      <c r="L399" s="135">
        <v>461000339</v>
      </c>
      <c r="M399" s="151">
        <v>45481</v>
      </c>
      <c r="N399" s="152">
        <v>45480.729166666664</v>
      </c>
      <c r="O399" s="152">
        <v>45480.729166666664</v>
      </c>
      <c r="P399" s="152">
        <v>45480.736111111109</v>
      </c>
      <c r="Q399" s="152">
        <v>45480.927083333336</v>
      </c>
      <c r="R399" s="114" t="s">
        <v>118</v>
      </c>
      <c r="S399" s="114" t="s">
        <v>118</v>
      </c>
      <c r="T399" s="114">
        <v>45480.9375</v>
      </c>
      <c r="U399" s="114">
        <v>45481.041666666664</v>
      </c>
      <c r="V399" s="165">
        <f t="shared" si="229"/>
        <v>0.19791666667151731</v>
      </c>
      <c r="W399" s="165">
        <v>0.20833333333333334</v>
      </c>
      <c r="X399" s="165" t="str">
        <f t="shared" si="230"/>
        <v>00:00</v>
      </c>
      <c r="Y399" s="96">
        <v>15</v>
      </c>
      <c r="Z399" s="96">
        <v>43</v>
      </c>
      <c r="AA399" s="96">
        <f t="shared" si="198"/>
        <v>58</v>
      </c>
      <c r="AB399" s="97">
        <f t="shared" si="199"/>
        <v>995.86293103448281</v>
      </c>
      <c r="AC399" s="97">
        <f t="shared" si="200"/>
        <v>2854.8070689655174</v>
      </c>
      <c r="AD399" s="98">
        <v>3850.67</v>
      </c>
      <c r="AE399" s="98">
        <v>3971.8</v>
      </c>
      <c r="AF399" s="98">
        <v>3974.2</v>
      </c>
      <c r="AG399" s="98">
        <f t="shared" si="201"/>
        <v>123.52999999999975</v>
      </c>
      <c r="AH399" s="99">
        <v>672.5</v>
      </c>
      <c r="AI399" s="100">
        <f t="shared" si="202"/>
        <v>2672649.5</v>
      </c>
      <c r="AJ399" s="100">
        <f>(0*AH399)*2</f>
        <v>0</v>
      </c>
      <c r="AK399" s="100">
        <v>0</v>
      </c>
      <c r="AL399" s="100">
        <v>0</v>
      </c>
      <c r="AM399" s="100">
        <v>0</v>
      </c>
      <c r="AN399" s="100">
        <v>0</v>
      </c>
      <c r="AO399" s="100">
        <v>0</v>
      </c>
      <c r="AP399" s="100">
        <f t="shared" si="226"/>
        <v>133633</v>
      </c>
      <c r="AQ399" s="101">
        <f t="shared" si="227"/>
        <v>2806283</v>
      </c>
      <c r="AR399" s="101">
        <v>0</v>
      </c>
      <c r="AS399" s="101">
        <v>0</v>
      </c>
      <c r="AT399" s="102" t="s">
        <v>33</v>
      </c>
      <c r="AU399" s="109" t="s">
        <v>118</v>
      </c>
      <c r="AV399" s="100">
        <v>0</v>
      </c>
      <c r="AW399" s="105"/>
      <c r="AX399" s="106">
        <f t="shared" si="231"/>
        <v>3.1082985254894004</v>
      </c>
      <c r="AY399" s="101">
        <f t="shared" si="232"/>
        <v>83074</v>
      </c>
      <c r="AZ399" s="107"/>
      <c r="BA399" s="94">
        <v>45480.729166666664</v>
      </c>
      <c r="BB399" s="94">
        <v>45480.736111111109</v>
      </c>
      <c r="BC399" s="94">
        <v>45480.803472222222</v>
      </c>
      <c r="BD399" s="94">
        <v>45480.912499999999</v>
      </c>
      <c r="BE399" s="95">
        <f t="shared" si="233"/>
        <v>0.18333333333430346</v>
      </c>
      <c r="BF399" s="95">
        <v>3.888888888888889E-2</v>
      </c>
      <c r="BG399" s="95">
        <v>5.1388888888888887E-2</v>
      </c>
      <c r="BH399" s="95">
        <f t="shared" si="234"/>
        <v>6.9444444452528842E-3</v>
      </c>
      <c r="BI399" s="95">
        <f t="shared" si="234"/>
        <v>6.7361111112404615E-2</v>
      </c>
      <c r="BJ399" s="95">
        <f t="shared" si="234"/>
        <v>0.10902777777664596</v>
      </c>
      <c r="BK399" s="95">
        <f t="shared" si="235"/>
        <v>0.17638888888905058</v>
      </c>
      <c r="BL399" s="95">
        <f t="shared" si="236"/>
        <v>8.6111111111272801E-2</v>
      </c>
      <c r="BM399" s="95" t="str">
        <f t="shared" si="237"/>
        <v>00:00</v>
      </c>
      <c r="BN399" s="110"/>
    </row>
    <row r="400" spans="1:66" s="8" customFormat="1" ht="12.75" customHeight="1" x14ac:dyDescent="0.25">
      <c r="A400" s="150">
        <v>354</v>
      </c>
      <c r="B400" s="150">
        <v>25</v>
      </c>
      <c r="C400" s="90">
        <v>6</v>
      </c>
      <c r="D400" s="90" t="s">
        <v>148</v>
      </c>
      <c r="E400" s="91" t="s">
        <v>544</v>
      </c>
      <c r="F400" s="90" t="s">
        <v>16</v>
      </c>
      <c r="G400" s="90" t="s">
        <v>17</v>
      </c>
      <c r="H400" s="90" t="s">
        <v>150</v>
      </c>
      <c r="I400" s="135" t="s">
        <v>567</v>
      </c>
      <c r="J400" s="151">
        <v>45479</v>
      </c>
      <c r="K400" s="135" t="s">
        <v>122</v>
      </c>
      <c r="L400" s="135">
        <v>461000340</v>
      </c>
      <c r="M400" s="151">
        <v>45481</v>
      </c>
      <c r="N400" s="152">
        <v>45480.916666666664</v>
      </c>
      <c r="O400" s="152">
        <v>45480.916666666664</v>
      </c>
      <c r="P400" s="152">
        <v>45480.930555555555</v>
      </c>
      <c r="Q400" s="152">
        <v>45481.125</v>
      </c>
      <c r="R400" s="114" t="s">
        <v>118</v>
      </c>
      <c r="S400" s="114" t="s">
        <v>118</v>
      </c>
      <c r="T400" s="114">
        <v>45481.135416666664</v>
      </c>
      <c r="U400" s="114">
        <v>45481.3125</v>
      </c>
      <c r="V400" s="165">
        <f t="shared" si="229"/>
        <v>0.20833333333575865</v>
      </c>
      <c r="W400" s="165">
        <v>0.20833333333333334</v>
      </c>
      <c r="X400" s="165">
        <f t="shared" si="230"/>
        <v>2.4253099528692701E-12</v>
      </c>
      <c r="Y400" s="96">
        <v>0</v>
      </c>
      <c r="Z400" s="96">
        <v>58</v>
      </c>
      <c r="AA400" s="96">
        <f t="shared" si="198"/>
        <v>58</v>
      </c>
      <c r="AB400" s="97">
        <f t="shared" si="199"/>
        <v>0</v>
      </c>
      <c r="AC400" s="97">
        <f t="shared" si="200"/>
        <v>3979.5499999999997</v>
      </c>
      <c r="AD400" s="98">
        <v>3979.55</v>
      </c>
      <c r="AE400" s="98">
        <v>3973.9</v>
      </c>
      <c r="AF400" s="98">
        <v>4002.4</v>
      </c>
      <c r="AG400" s="98">
        <f t="shared" si="201"/>
        <v>22.849999999999909</v>
      </c>
      <c r="AH400" s="99">
        <v>672.5</v>
      </c>
      <c r="AI400" s="100">
        <f t="shared" si="202"/>
        <v>2691614</v>
      </c>
      <c r="AJ400" s="100">
        <f>(0*AH400)*2</f>
        <v>0</v>
      </c>
      <c r="AK400" s="100">
        <v>0</v>
      </c>
      <c r="AL400" s="100">
        <v>24140</v>
      </c>
      <c r="AM400" s="100">
        <v>0</v>
      </c>
      <c r="AN400" s="100">
        <v>0</v>
      </c>
      <c r="AO400" s="100">
        <v>0</v>
      </c>
      <c r="AP400" s="100">
        <f t="shared" si="226"/>
        <v>135788</v>
      </c>
      <c r="AQ400" s="101">
        <f t="shared" si="227"/>
        <v>2851542</v>
      </c>
      <c r="AR400" s="101">
        <v>0</v>
      </c>
      <c r="AS400" s="101">
        <v>0</v>
      </c>
      <c r="AT400" s="102" t="s">
        <v>33</v>
      </c>
      <c r="AU400" s="109">
        <v>18</v>
      </c>
      <c r="AV400" s="100">
        <f>44-23.5</f>
        <v>20.5</v>
      </c>
      <c r="AW400" s="105"/>
      <c r="AX400" s="106">
        <f t="shared" si="231"/>
        <v>0.57090745552668165</v>
      </c>
      <c r="AY400" s="101">
        <f t="shared" si="232"/>
        <v>15367</v>
      </c>
      <c r="AZ400" s="107"/>
      <c r="BA400" s="94">
        <v>45480.916666666664</v>
      </c>
      <c r="BB400" s="94">
        <v>45480.930555555555</v>
      </c>
      <c r="BC400" s="94">
        <v>45480.947916666664</v>
      </c>
      <c r="BD400" s="94">
        <v>45481.13958333333</v>
      </c>
      <c r="BE400" s="95">
        <f t="shared" si="233"/>
        <v>0.22291666666569654</v>
      </c>
      <c r="BF400" s="95">
        <v>6.1111111111111109E-2</v>
      </c>
      <c r="BG400" s="95">
        <v>2.7777777777777779E-3</v>
      </c>
      <c r="BH400" s="95">
        <f t="shared" si="234"/>
        <v>1.3888888890505768E-2</v>
      </c>
      <c r="BI400" s="95">
        <f t="shared" si="234"/>
        <v>1.7361111109494232E-2</v>
      </c>
      <c r="BJ400" s="95">
        <f t="shared" si="234"/>
        <v>0.19166666666569654</v>
      </c>
      <c r="BK400" s="95">
        <f t="shared" si="235"/>
        <v>0.20902777777519077</v>
      </c>
      <c r="BL400" s="95">
        <f t="shared" si="236"/>
        <v>0.14513888888630189</v>
      </c>
      <c r="BM400" s="95">
        <f t="shared" si="237"/>
        <v>1.4583333332363196E-2</v>
      </c>
      <c r="BN400" s="110"/>
    </row>
    <row r="401" spans="1:66" s="8" customFormat="1" ht="12.75" customHeight="1" x14ac:dyDescent="0.25">
      <c r="A401" s="150">
        <v>355</v>
      </c>
      <c r="B401" s="150">
        <v>26</v>
      </c>
      <c r="C401" s="90">
        <v>7</v>
      </c>
      <c r="D401" s="90" t="s">
        <v>148</v>
      </c>
      <c r="E401" s="91" t="s">
        <v>544</v>
      </c>
      <c r="F401" s="111" t="s">
        <v>16</v>
      </c>
      <c r="G401" s="111" t="s">
        <v>17</v>
      </c>
      <c r="H401" s="111" t="s">
        <v>150</v>
      </c>
      <c r="I401" s="135" t="s">
        <v>568</v>
      </c>
      <c r="J401" s="151">
        <v>45479</v>
      </c>
      <c r="K401" s="135" t="s">
        <v>117</v>
      </c>
      <c r="L401" s="135">
        <v>461000341</v>
      </c>
      <c r="M401" s="151">
        <v>45481</v>
      </c>
      <c r="N401" s="152">
        <v>45481.159722222219</v>
      </c>
      <c r="O401" s="152">
        <v>45481.159722222219</v>
      </c>
      <c r="P401" s="152">
        <v>45481.163194444445</v>
      </c>
      <c r="Q401" s="152">
        <v>45481.354166666664</v>
      </c>
      <c r="R401" s="114" t="s">
        <v>118</v>
      </c>
      <c r="S401" s="114" t="s">
        <v>118</v>
      </c>
      <c r="T401" s="114">
        <v>45481.364583333336</v>
      </c>
      <c r="U401" s="114">
        <v>45481.472222222219</v>
      </c>
      <c r="V401" s="165">
        <f t="shared" si="229"/>
        <v>0.19444444444525288</v>
      </c>
      <c r="W401" s="165">
        <v>0.20833333333333334</v>
      </c>
      <c r="X401" s="165" t="str">
        <f t="shared" si="230"/>
        <v>00:00</v>
      </c>
      <c r="Y401" s="96">
        <v>1</v>
      </c>
      <c r="Z401" s="96">
        <v>58</v>
      </c>
      <c r="AA401" s="96">
        <f t="shared" si="198"/>
        <v>59</v>
      </c>
      <c r="AB401" s="97">
        <f t="shared" si="199"/>
        <v>69.355593220338989</v>
      </c>
      <c r="AC401" s="97">
        <f t="shared" si="200"/>
        <v>4022.6244067796615</v>
      </c>
      <c r="AD401" s="98">
        <v>4091.98</v>
      </c>
      <c r="AE401" s="98">
        <v>4063</v>
      </c>
      <c r="AF401" s="98">
        <v>4109.8</v>
      </c>
      <c r="AG401" s="98">
        <f t="shared" si="201"/>
        <v>17.820000000000164</v>
      </c>
      <c r="AH401" s="99">
        <v>672.5</v>
      </c>
      <c r="AI401" s="100">
        <f t="shared" si="202"/>
        <v>2763840.5</v>
      </c>
      <c r="AJ401" s="100">
        <f>(0*AH401)*2</f>
        <v>0</v>
      </c>
      <c r="AK401" s="100">
        <v>0</v>
      </c>
      <c r="AL401" s="100">
        <v>48580</v>
      </c>
      <c r="AM401" s="100">
        <v>0</v>
      </c>
      <c r="AN401" s="100">
        <v>0</v>
      </c>
      <c r="AO401" s="100">
        <v>0</v>
      </c>
      <c r="AP401" s="100">
        <f t="shared" si="226"/>
        <v>140622</v>
      </c>
      <c r="AQ401" s="101">
        <f t="shared" si="227"/>
        <v>2953043</v>
      </c>
      <c r="AR401" s="101">
        <v>0</v>
      </c>
      <c r="AS401" s="101">
        <v>0</v>
      </c>
      <c r="AT401" s="102" t="s">
        <v>33</v>
      </c>
      <c r="AU401" s="109">
        <v>30</v>
      </c>
      <c r="AV401" s="100">
        <f>70.54-40.04</f>
        <v>30.500000000000007</v>
      </c>
      <c r="AW401" s="105"/>
      <c r="AX401" s="106">
        <f t="shared" si="231"/>
        <v>0.43359774198258222</v>
      </c>
      <c r="AY401" s="101">
        <f t="shared" si="232"/>
        <v>11984</v>
      </c>
      <c r="AZ401" s="107"/>
      <c r="BA401" s="94">
        <v>45481.159722222219</v>
      </c>
      <c r="BB401" s="94">
        <v>45481.163194444445</v>
      </c>
      <c r="BC401" s="94">
        <v>45481.163194444445</v>
      </c>
      <c r="BD401" s="94">
        <v>45481.31527777778</v>
      </c>
      <c r="BE401" s="95">
        <f t="shared" si="233"/>
        <v>0.15555555556056788</v>
      </c>
      <c r="BF401" s="95">
        <v>0</v>
      </c>
      <c r="BG401" s="95">
        <v>8.3333333333333332E-3</v>
      </c>
      <c r="BH401" s="95">
        <f t="shared" si="234"/>
        <v>3.4722222262644209E-3</v>
      </c>
      <c r="BI401" s="95">
        <f t="shared" si="234"/>
        <v>0</v>
      </c>
      <c r="BJ401" s="95">
        <f t="shared" si="234"/>
        <v>0.15208333333430346</v>
      </c>
      <c r="BK401" s="95">
        <f t="shared" si="235"/>
        <v>0.15208333333430346</v>
      </c>
      <c r="BL401" s="95">
        <f t="shared" si="236"/>
        <v>0.14375000000097013</v>
      </c>
      <c r="BM401" s="95" t="str">
        <f t="shared" si="237"/>
        <v>00:00</v>
      </c>
      <c r="BN401" s="110"/>
    </row>
    <row r="402" spans="1:66" s="8" customFormat="1" ht="12.75" customHeight="1" x14ac:dyDescent="0.25">
      <c r="A402" s="150">
        <v>356</v>
      </c>
      <c r="B402" s="150">
        <v>27</v>
      </c>
      <c r="C402" s="90">
        <v>8</v>
      </c>
      <c r="D402" s="90" t="s">
        <v>148</v>
      </c>
      <c r="E402" s="91" t="s">
        <v>544</v>
      </c>
      <c r="F402" s="111" t="s">
        <v>16</v>
      </c>
      <c r="G402" s="111" t="s">
        <v>17</v>
      </c>
      <c r="H402" s="111" t="s">
        <v>150</v>
      </c>
      <c r="I402" s="135" t="s">
        <v>569</v>
      </c>
      <c r="J402" s="151">
        <v>45479</v>
      </c>
      <c r="K402" s="135" t="s">
        <v>122</v>
      </c>
      <c r="L402" s="135">
        <v>461000342</v>
      </c>
      <c r="M402" s="151">
        <v>45481</v>
      </c>
      <c r="N402" s="152">
        <v>45481.340277777781</v>
      </c>
      <c r="O402" s="152">
        <v>45481.333333333336</v>
      </c>
      <c r="P402" s="152">
        <v>45481.347222222219</v>
      </c>
      <c r="Q402" s="152">
        <v>45481.541666666664</v>
      </c>
      <c r="R402" s="152">
        <v>45481.340277777781</v>
      </c>
      <c r="S402" s="114" t="s">
        <v>118</v>
      </c>
      <c r="T402" s="114">
        <v>45481.618055555555</v>
      </c>
      <c r="U402" s="114">
        <v>45481.652777777781</v>
      </c>
      <c r="V402" s="165">
        <f t="shared" si="229"/>
        <v>0.20833333332848269</v>
      </c>
      <c r="W402" s="165">
        <v>0.20833333333333334</v>
      </c>
      <c r="X402" s="165" t="str">
        <f t="shared" si="230"/>
        <v>00:00</v>
      </c>
      <c r="Y402" s="96">
        <v>1</v>
      </c>
      <c r="Z402" s="96">
        <v>57</v>
      </c>
      <c r="AA402" s="96">
        <f t="shared" si="198"/>
        <v>58</v>
      </c>
      <c r="AB402" s="97">
        <f t="shared" si="199"/>
        <v>68.83465517241379</v>
      </c>
      <c r="AC402" s="97">
        <f t="shared" si="200"/>
        <v>3923.5753448275859</v>
      </c>
      <c r="AD402" s="98">
        <v>3992.41</v>
      </c>
      <c r="AE402" s="98">
        <v>3977.2</v>
      </c>
      <c r="AF402" s="98">
        <v>4004.6</v>
      </c>
      <c r="AG402" s="98">
        <f t="shared" si="201"/>
        <v>12.190000000000055</v>
      </c>
      <c r="AH402" s="99">
        <v>672.5</v>
      </c>
      <c r="AI402" s="100">
        <f t="shared" si="202"/>
        <v>2693093.5</v>
      </c>
      <c r="AJ402" s="100">
        <f>(0*AH402)*2</f>
        <v>0</v>
      </c>
      <c r="AK402" s="100">
        <v>0</v>
      </c>
      <c r="AL402" s="100">
        <v>24140</v>
      </c>
      <c r="AM402" s="100">
        <v>0</v>
      </c>
      <c r="AN402" s="100">
        <v>0</v>
      </c>
      <c r="AO402" s="100">
        <v>0</v>
      </c>
      <c r="AP402" s="100">
        <f t="shared" si="226"/>
        <v>135862</v>
      </c>
      <c r="AQ402" s="101">
        <f t="shared" si="227"/>
        <v>2853096</v>
      </c>
      <c r="AR402" s="101">
        <v>0</v>
      </c>
      <c r="AS402" s="101">
        <v>0</v>
      </c>
      <c r="AT402" s="102" t="s">
        <v>33</v>
      </c>
      <c r="AU402" s="109">
        <v>6</v>
      </c>
      <c r="AV402" s="100">
        <f>35.81-26.31</f>
        <v>9.5000000000000036</v>
      </c>
      <c r="AW402" s="105"/>
      <c r="AX402" s="106">
        <f t="shared" si="231"/>
        <v>0.30439994006892213</v>
      </c>
      <c r="AY402" s="101">
        <f t="shared" si="232"/>
        <v>8198</v>
      </c>
      <c r="AZ402" s="107"/>
      <c r="BA402" s="94">
        <v>45481.340277777781</v>
      </c>
      <c r="BB402" s="94">
        <v>45481.347222222219</v>
      </c>
      <c r="BC402" s="94">
        <v>45481.361111111109</v>
      </c>
      <c r="BD402" s="94">
        <v>45481.5</v>
      </c>
      <c r="BE402" s="95">
        <f t="shared" si="233"/>
        <v>0.15972222221898846</v>
      </c>
      <c r="BF402" s="95">
        <v>1.9444444444444445E-2</v>
      </c>
      <c r="BG402" s="95">
        <v>3.472222222222222E-3</v>
      </c>
      <c r="BH402" s="95">
        <f t="shared" si="234"/>
        <v>6.9444444379769266E-3</v>
      </c>
      <c r="BI402" s="95">
        <f t="shared" si="234"/>
        <v>1.3888888890505768E-2</v>
      </c>
      <c r="BJ402" s="95">
        <f t="shared" si="234"/>
        <v>0.13888888889050577</v>
      </c>
      <c r="BK402" s="95">
        <f t="shared" si="235"/>
        <v>0.15277777778101154</v>
      </c>
      <c r="BL402" s="95">
        <f t="shared" si="236"/>
        <v>0.1298611111143449</v>
      </c>
      <c r="BM402" s="95" t="str">
        <f t="shared" si="237"/>
        <v>00:00</v>
      </c>
      <c r="BN402" s="110"/>
    </row>
    <row r="403" spans="1:66" s="8" customFormat="1" ht="12.75" customHeight="1" x14ac:dyDescent="0.25">
      <c r="A403" s="150">
        <v>357</v>
      </c>
      <c r="B403" s="150">
        <v>28</v>
      </c>
      <c r="C403" s="90">
        <v>5</v>
      </c>
      <c r="D403" s="90" t="s">
        <v>113</v>
      </c>
      <c r="E403" s="91" t="s">
        <v>551</v>
      </c>
      <c r="F403" s="171" t="s">
        <v>29</v>
      </c>
      <c r="G403" s="171" t="s">
        <v>8</v>
      </c>
      <c r="H403" s="171" t="s">
        <v>124</v>
      </c>
      <c r="I403" s="135" t="s">
        <v>570</v>
      </c>
      <c r="J403" s="151">
        <v>45481</v>
      </c>
      <c r="K403" s="135" t="s">
        <v>117</v>
      </c>
      <c r="L403" s="135">
        <v>461000343</v>
      </c>
      <c r="M403" s="151">
        <v>45482</v>
      </c>
      <c r="N403" s="152">
        <v>45481.708333333336</v>
      </c>
      <c r="O403" s="152">
        <v>45481.708333333336</v>
      </c>
      <c r="P403" s="152">
        <v>45481.725694444445</v>
      </c>
      <c r="Q403" s="152">
        <v>45481.895833333336</v>
      </c>
      <c r="R403" s="152" t="s">
        <v>118</v>
      </c>
      <c r="S403" s="114" t="s">
        <v>118</v>
      </c>
      <c r="T403" s="114">
        <v>45481.9375</v>
      </c>
      <c r="U403" s="114">
        <v>45482.066666666666</v>
      </c>
      <c r="V403" s="165">
        <f t="shared" si="229"/>
        <v>0.1875</v>
      </c>
      <c r="W403" s="165">
        <v>0.20833333333333334</v>
      </c>
      <c r="X403" s="165" t="str">
        <f t="shared" si="230"/>
        <v>00:00</v>
      </c>
      <c r="Y403" s="96">
        <v>23</v>
      </c>
      <c r="Z403" s="96">
        <v>36</v>
      </c>
      <c r="AA403" s="96">
        <f t="shared" si="198"/>
        <v>59</v>
      </c>
      <c r="AB403" s="97">
        <f t="shared" si="199"/>
        <v>1558.343559322034</v>
      </c>
      <c r="AC403" s="97">
        <f t="shared" si="200"/>
        <v>2439.146440677966</v>
      </c>
      <c r="AD403" s="98">
        <v>3997.49</v>
      </c>
      <c r="AE403" s="98">
        <v>4031.5</v>
      </c>
      <c r="AF403" s="98">
        <v>4043.4</v>
      </c>
      <c r="AG403" s="98">
        <f t="shared" si="201"/>
        <v>45.910000000000309</v>
      </c>
      <c r="AH403" s="99">
        <v>797.2</v>
      </c>
      <c r="AI403" s="100">
        <f t="shared" si="202"/>
        <v>3223398.4800000004</v>
      </c>
      <c r="AJ403" s="100">
        <f>(0.8*AH403)*2</f>
        <v>1275.5200000000002</v>
      </c>
      <c r="AK403" s="100">
        <v>0</v>
      </c>
      <c r="AL403" s="100">
        <v>0</v>
      </c>
      <c r="AM403" s="100">
        <v>0</v>
      </c>
      <c r="AN403" s="100">
        <v>0</v>
      </c>
      <c r="AO403" s="100">
        <v>0</v>
      </c>
      <c r="AP403" s="100">
        <f t="shared" si="226"/>
        <v>161234</v>
      </c>
      <c r="AQ403" s="101">
        <f t="shared" si="227"/>
        <v>3385908</v>
      </c>
      <c r="AR403" s="101">
        <v>0</v>
      </c>
      <c r="AS403" s="101">
        <v>0</v>
      </c>
      <c r="AT403" s="102" t="s">
        <v>33</v>
      </c>
      <c r="AU403" s="109" t="s">
        <v>118</v>
      </c>
      <c r="AV403" s="100">
        <v>0</v>
      </c>
      <c r="AW403" s="105"/>
      <c r="AX403" s="106">
        <f t="shared" si="231"/>
        <v>1.135430578226253</v>
      </c>
      <c r="AY403" s="101">
        <f t="shared" si="232"/>
        <v>36600</v>
      </c>
      <c r="AZ403" s="107"/>
      <c r="BA403" s="94">
        <v>45481.708333333336</v>
      </c>
      <c r="BB403" s="94">
        <v>45481.725694444445</v>
      </c>
      <c r="BC403" s="94">
        <v>45481.729166666664</v>
      </c>
      <c r="BD403" s="94">
        <v>45481.847222222219</v>
      </c>
      <c r="BE403" s="95">
        <f t="shared" si="233"/>
        <v>0.13888888888322981</v>
      </c>
      <c r="BF403" s="95">
        <v>3.4027777777777775E-2</v>
      </c>
      <c r="BG403" s="95">
        <v>6.2500000000000003E-3</v>
      </c>
      <c r="BH403" s="95">
        <f t="shared" si="234"/>
        <v>1.7361111109494232E-2</v>
      </c>
      <c r="BI403" s="95">
        <f t="shared" si="234"/>
        <v>3.4722222189884633E-3</v>
      </c>
      <c r="BJ403" s="95">
        <f t="shared" si="234"/>
        <v>0.11805555555474712</v>
      </c>
      <c r="BK403" s="95">
        <f t="shared" si="235"/>
        <v>0.12152777777373558</v>
      </c>
      <c r="BL403" s="95">
        <f t="shared" si="236"/>
        <v>8.1249999995957806E-2</v>
      </c>
      <c r="BM403" s="95" t="str">
        <f t="shared" si="237"/>
        <v>00:00</v>
      </c>
      <c r="BN403" s="110"/>
    </row>
    <row r="404" spans="1:66" s="8" customFormat="1" ht="12.75" customHeight="1" x14ac:dyDescent="0.25">
      <c r="A404" s="150">
        <v>358</v>
      </c>
      <c r="B404" s="150">
        <v>29</v>
      </c>
      <c r="C404" s="90">
        <v>9</v>
      </c>
      <c r="D404" s="90" t="s">
        <v>148</v>
      </c>
      <c r="E404" s="91" t="s">
        <v>544</v>
      </c>
      <c r="F404" s="111" t="s">
        <v>16</v>
      </c>
      <c r="G404" s="111" t="s">
        <v>17</v>
      </c>
      <c r="H404" s="111" t="s">
        <v>150</v>
      </c>
      <c r="I404" s="135" t="s">
        <v>571</v>
      </c>
      <c r="J404" s="151">
        <v>45481</v>
      </c>
      <c r="K404" s="135" t="s">
        <v>122</v>
      </c>
      <c r="L404" s="135">
        <v>461000345</v>
      </c>
      <c r="M404" s="151">
        <v>45482</v>
      </c>
      <c r="N404" s="152">
        <v>45481.791666666664</v>
      </c>
      <c r="O404" s="152">
        <v>45481.791666666664</v>
      </c>
      <c r="P404" s="152">
        <v>45481.795138888891</v>
      </c>
      <c r="Q404" s="152">
        <v>45481.989583333336</v>
      </c>
      <c r="R404" s="152" t="s">
        <v>118</v>
      </c>
      <c r="S404" s="114">
        <v>45482.083333333336</v>
      </c>
      <c r="T404" s="114">
        <v>45482.152777777781</v>
      </c>
      <c r="U404" s="114">
        <v>45482.454861111109</v>
      </c>
      <c r="V404" s="165">
        <f t="shared" si="229"/>
        <v>0.19791666667151731</v>
      </c>
      <c r="W404" s="165">
        <v>0.20833333333333334</v>
      </c>
      <c r="X404" s="165" t="str">
        <f t="shared" si="230"/>
        <v>00:00</v>
      </c>
      <c r="Y404" s="96">
        <v>0</v>
      </c>
      <c r="Z404" s="96">
        <v>59</v>
      </c>
      <c r="AA404" s="96">
        <f t="shared" si="198"/>
        <v>59</v>
      </c>
      <c r="AB404" s="97">
        <f t="shared" si="199"/>
        <v>0</v>
      </c>
      <c r="AC404" s="97">
        <f t="shared" si="200"/>
        <v>4042.7899999999995</v>
      </c>
      <c r="AD404" s="98">
        <v>4042.79</v>
      </c>
      <c r="AE404" s="98">
        <v>4029.7</v>
      </c>
      <c r="AF404" s="98">
        <v>4063.2</v>
      </c>
      <c r="AG404" s="98">
        <f t="shared" si="201"/>
        <v>20.409999999999854</v>
      </c>
      <c r="AH404" s="99">
        <v>672.5</v>
      </c>
      <c r="AI404" s="100">
        <f t="shared" si="202"/>
        <v>2732502</v>
      </c>
      <c r="AJ404" s="100">
        <f t="shared" ref="AJ404:AJ410" si="238">(0*AH404)*2</f>
        <v>0</v>
      </c>
      <c r="AK404" s="100">
        <v>0</v>
      </c>
      <c r="AL404" s="100">
        <v>72870</v>
      </c>
      <c r="AM404" s="100">
        <v>0</v>
      </c>
      <c r="AN404" s="100">
        <v>0</v>
      </c>
      <c r="AO404" s="100">
        <v>0</v>
      </c>
      <c r="AP404" s="100">
        <f t="shared" si="226"/>
        <v>140269</v>
      </c>
      <c r="AQ404" s="101">
        <f t="shared" si="227"/>
        <v>2945641</v>
      </c>
      <c r="AR404" s="101">
        <v>0</v>
      </c>
      <c r="AS404" s="101">
        <v>0</v>
      </c>
      <c r="AT404" s="102" t="s">
        <v>33</v>
      </c>
      <c r="AU404" s="109">
        <v>26</v>
      </c>
      <c r="AV404" s="100">
        <f>54.19-26.69</f>
        <v>27.499999999999996</v>
      </c>
      <c r="AW404" s="105"/>
      <c r="AX404" s="106">
        <f t="shared" si="231"/>
        <v>0.50231344752903762</v>
      </c>
      <c r="AY404" s="101">
        <f t="shared" si="232"/>
        <v>13726</v>
      </c>
      <c r="AZ404" s="107"/>
      <c r="BA404" s="94">
        <v>45481.791666666664</v>
      </c>
      <c r="BB404" s="94">
        <v>45481.791666666664</v>
      </c>
      <c r="BC404" s="94">
        <v>45481.887499999997</v>
      </c>
      <c r="BD404" s="94">
        <v>45482.077777777777</v>
      </c>
      <c r="BE404" s="95">
        <f t="shared" si="233"/>
        <v>0.28611111111240461</v>
      </c>
      <c r="BF404" s="95">
        <v>7.4999999999999997E-2</v>
      </c>
      <c r="BG404" s="95">
        <v>6.9444444444444448E-2</v>
      </c>
      <c r="BH404" s="95">
        <f t="shared" si="234"/>
        <v>0</v>
      </c>
      <c r="BI404" s="95">
        <f t="shared" si="234"/>
        <v>9.5833333332848269E-2</v>
      </c>
      <c r="BJ404" s="95">
        <f t="shared" si="234"/>
        <v>0.19027777777955635</v>
      </c>
      <c r="BK404" s="95">
        <f t="shared" si="235"/>
        <v>0.28611111111240461</v>
      </c>
      <c r="BL404" s="95">
        <f t="shared" si="236"/>
        <v>0.14166666666796016</v>
      </c>
      <c r="BM404" s="95">
        <f t="shared" si="237"/>
        <v>7.7777777779071272E-2</v>
      </c>
      <c r="BN404" s="110"/>
    </row>
    <row r="405" spans="1:66" s="8" customFormat="1" ht="12.75" customHeight="1" x14ac:dyDescent="0.25">
      <c r="A405" s="150">
        <v>359</v>
      </c>
      <c r="B405" s="150">
        <v>30</v>
      </c>
      <c r="C405" s="90">
        <v>10</v>
      </c>
      <c r="D405" s="90" t="s">
        <v>148</v>
      </c>
      <c r="E405" s="91" t="s">
        <v>544</v>
      </c>
      <c r="F405" s="111" t="s">
        <v>16</v>
      </c>
      <c r="G405" s="111" t="s">
        <v>17</v>
      </c>
      <c r="H405" s="111" t="s">
        <v>150</v>
      </c>
      <c r="I405" s="135" t="s">
        <v>572</v>
      </c>
      <c r="J405" s="151">
        <v>45481</v>
      </c>
      <c r="K405" s="135" t="s">
        <v>117</v>
      </c>
      <c r="L405" s="135">
        <v>461000344</v>
      </c>
      <c r="M405" s="151">
        <v>45482</v>
      </c>
      <c r="N405" s="152">
        <v>45482.135416666664</v>
      </c>
      <c r="O405" s="152">
        <v>45482.135416666664</v>
      </c>
      <c r="P405" s="152">
        <v>45482.145833333336</v>
      </c>
      <c r="Q405" s="152">
        <v>45482.302083333336</v>
      </c>
      <c r="R405" s="152" t="s">
        <v>118</v>
      </c>
      <c r="S405" s="114" t="s">
        <v>118</v>
      </c>
      <c r="T405" s="114">
        <v>45482.3125</v>
      </c>
      <c r="U405" s="114">
        <v>45482.486111111109</v>
      </c>
      <c r="V405" s="165">
        <f t="shared" si="229"/>
        <v>0.16666666667151731</v>
      </c>
      <c r="W405" s="165">
        <v>0.20833333333333334</v>
      </c>
      <c r="X405" s="165" t="str">
        <f t="shared" si="230"/>
        <v>00:00</v>
      </c>
      <c r="Y405" s="96">
        <v>1</v>
      </c>
      <c r="Z405" s="96">
        <v>57</v>
      </c>
      <c r="AA405" s="96">
        <f t="shared" si="198"/>
        <v>58</v>
      </c>
      <c r="AB405" s="97">
        <f t="shared" si="199"/>
        <v>68.643103448275866</v>
      </c>
      <c r="AC405" s="97">
        <f t="shared" si="200"/>
        <v>3912.6568965517245</v>
      </c>
      <c r="AD405" s="98">
        <v>3981.3</v>
      </c>
      <c r="AE405" s="98">
        <v>3974.9</v>
      </c>
      <c r="AF405" s="98">
        <v>4001.2</v>
      </c>
      <c r="AG405" s="98">
        <f t="shared" si="201"/>
        <v>19.899999999999636</v>
      </c>
      <c r="AH405" s="99">
        <v>672.5</v>
      </c>
      <c r="AI405" s="100">
        <f t="shared" si="202"/>
        <v>2690807</v>
      </c>
      <c r="AJ405" s="100">
        <f t="shared" si="238"/>
        <v>0</v>
      </c>
      <c r="AK405" s="100">
        <v>0</v>
      </c>
      <c r="AL405" s="100">
        <v>24140</v>
      </c>
      <c r="AM405" s="100">
        <v>0</v>
      </c>
      <c r="AN405" s="100">
        <v>0</v>
      </c>
      <c r="AO405" s="100">
        <v>0</v>
      </c>
      <c r="AP405" s="100">
        <f t="shared" si="226"/>
        <v>135748</v>
      </c>
      <c r="AQ405" s="101">
        <f t="shared" si="227"/>
        <v>2850695</v>
      </c>
      <c r="AR405" s="101">
        <v>0</v>
      </c>
      <c r="AS405" s="101">
        <v>0</v>
      </c>
      <c r="AT405" s="102" t="s">
        <v>33</v>
      </c>
      <c r="AU405" s="109">
        <v>15</v>
      </c>
      <c r="AV405" s="100">
        <f>34.61-21.61</f>
        <v>13</v>
      </c>
      <c r="AW405" s="105"/>
      <c r="AX405" s="106">
        <f t="shared" si="231"/>
        <v>0.49735079476156241</v>
      </c>
      <c r="AY405" s="101">
        <f t="shared" si="232"/>
        <v>13383</v>
      </c>
      <c r="AZ405" s="107"/>
      <c r="BA405" s="94">
        <v>45482.135416666664</v>
      </c>
      <c r="BB405" s="94">
        <v>45482.145833333336</v>
      </c>
      <c r="BC405" s="94">
        <v>45482.145833333336</v>
      </c>
      <c r="BD405" s="94">
        <v>45482.28125</v>
      </c>
      <c r="BE405" s="95">
        <f t="shared" si="233"/>
        <v>0.14583333333575865</v>
      </c>
      <c r="BF405" s="95">
        <v>0</v>
      </c>
      <c r="BG405" s="95">
        <v>3.472222222222222E-3</v>
      </c>
      <c r="BH405" s="95">
        <f t="shared" si="234"/>
        <v>1.0416666671517305E-2</v>
      </c>
      <c r="BI405" s="95">
        <f t="shared" si="234"/>
        <v>0</v>
      </c>
      <c r="BJ405" s="95">
        <f t="shared" si="234"/>
        <v>0.13541666666424135</v>
      </c>
      <c r="BK405" s="95">
        <f t="shared" si="235"/>
        <v>0.13541666666424135</v>
      </c>
      <c r="BL405" s="95">
        <f t="shared" si="236"/>
        <v>0.13194444444201914</v>
      </c>
      <c r="BM405" s="95" t="str">
        <f t="shared" si="237"/>
        <v>00:00</v>
      </c>
      <c r="BN405" s="110"/>
    </row>
    <row r="406" spans="1:66" s="8" customFormat="1" ht="12.75" customHeight="1" x14ac:dyDescent="0.25">
      <c r="A406" s="150">
        <v>360</v>
      </c>
      <c r="B406" s="150">
        <v>31</v>
      </c>
      <c r="C406" s="90">
        <v>11</v>
      </c>
      <c r="D406" s="90" t="s">
        <v>148</v>
      </c>
      <c r="E406" s="91" t="s">
        <v>544</v>
      </c>
      <c r="F406" s="111" t="s">
        <v>16</v>
      </c>
      <c r="G406" s="111" t="s">
        <v>17</v>
      </c>
      <c r="H406" s="111" t="s">
        <v>150</v>
      </c>
      <c r="I406" s="135" t="s">
        <v>573</v>
      </c>
      <c r="J406" s="151">
        <v>45481</v>
      </c>
      <c r="K406" s="135" t="s">
        <v>122</v>
      </c>
      <c r="L406" s="135">
        <v>461000346</v>
      </c>
      <c r="M406" s="151">
        <v>45482</v>
      </c>
      <c r="N406" s="152">
        <v>45482.25</v>
      </c>
      <c r="O406" s="152">
        <v>45482.25</v>
      </c>
      <c r="P406" s="152">
        <v>45482.253472222219</v>
      </c>
      <c r="Q406" s="152">
        <v>45482.458333333336</v>
      </c>
      <c r="R406" s="152" t="s">
        <v>118</v>
      </c>
      <c r="S406" s="114" t="s">
        <v>118</v>
      </c>
      <c r="T406" s="114">
        <v>45482.583333333336</v>
      </c>
      <c r="U406" s="114">
        <v>45482.6875</v>
      </c>
      <c r="V406" s="165">
        <f t="shared" si="229"/>
        <v>0.20833333333575865</v>
      </c>
      <c r="W406" s="165">
        <v>0.20833333333333334</v>
      </c>
      <c r="X406" s="165">
        <f t="shared" si="230"/>
        <v>2.4253099528692701E-12</v>
      </c>
      <c r="Y406" s="96">
        <v>0</v>
      </c>
      <c r="Z406" s="96">
        <v>59</v>
      </c>
      <c r="AA406" s="96">
        <f t="shared" si="198"/>
        <v>59</v>
      </c>
      <c r="AB406" s="97">
        <f t="shared" si="199"/>
        <v>0</v>
      </c>
      <c r="AC406" s="97">
        <f t="shared" si="200"/>
        <v>4020.8199999999997</v>
      </c>
      <c r="AD406" s="98">
        <v>4020.82</v>
      </c>
      <c r="AE406" s="98">
        <v>4038.4</v>
      </c>
      <c r="AF406" s="98">
        <v>4054.2</v>
      </c>
      <c r="AG406" s="98">
        <f t="shared" si="201"/>
        <v>33.379999999999654</v>
      </c>
      <c r="AH406" s="99">
        <v>672.5</v>
      </c>
      <c r="AI406" s="100">
        <f t="shared" si="202"/>
        <v>2726449.5</v>
      </c>
      <c r="AJ406" s="100">
        <f t="shared" si="238"/>
        <v>0</v>
      </c>
      <c r="AK406" s="100">
        <v>0</v>
      </c>
      <c r="AL406" s="100">
        <v>48430</v>
      </c>
      <c r="AM406" s="100">
        <v>0</v>
      </c>
      <c r="AN406" s="100">
        <v>0</v>
      </c>
      <c r="AO406" s="100">
        <v>0</v>
      </c>
      <c r="AP406" s="100">
        <f t="shared" si="226"/>
        <v>138744</v>
      </c>
      <c r="AQ406" s="101">
        <f t="shared" si="227"/>
        <v>2913624</v>
      </c>
      <c r="AR406" s="101">
        <v>0</v>
      </c>
      <c r="AS406" s="101">
        <v>0</v>
      </c>
      <c r="AT406" s="102" t="s">
        <v>33</v>
      </c>
      <c r="AU406" s="109">
        <v>7</v>
      </c>
      <c r="AV406" s="100">
        <f>20.59-11.09</f>
        <v>9.5</v>
      </c>
      <c r="AW406" s="105"/>
      <c r="AX406" s="106">
        <f t="shared" si="231"/>
        <v>0.82334369296037835</v>
      </c>
      <c r="AY406" s="101">
        <f t="shared" si="232"/>
        <v>22449</v>
      </c>
      <c r="AZ406" s="107"/>
      <c r="BA406" s="94">
        <v>45482.25</v>
      </c>
      <c r="BB406" s="94">
        <v>45482.253472222219</v>
      </c>
      <c r="BC406" s="94">
        <v>45482.298611111109</v>
      </c>
      <c r="BD406" s="94">
        <v>45482.463888888888</v>
      </c>
      <c r="BE406" s="95">
        <f t="shared" si="233"/>
        <v>0.21388888888759539</v>
      </c>
      <c r="BF406" s="95">
        <v>2.361111111111111E-2</v>
      </c>
      <c r="BG406" s="95">
        <v>4.0972222222222222E-2</v>
      </c>
      <c r="BH406" s="95">
        <f t="shared" si="234"/>
        <v>3.4722222189884633E-3</v>
      </c>
      <c r="BI406" s="95">
        <f t="shared" si="234"/>
        <v>4.5138888890505768E-2</v>
      </c>
      <c r="BJ406" s="95">
        <f t="shared" si="234"/>
        <v>0.16527777777810115</v>
      </c>
      <c r="BK406" s="95">
        <f t="shared" si="235"/>
        <v>0.21041666666860692</v>
      </c>
      <c r="BL406" s="95">
        <f t="shared" si="236"/>
        <v>0.1458333333352736</v>
      </c>
      <c r="BM406" s="95">
        <f t="shared" si="237"/>
        <v>5.5555555542620427E-3</v>
      </c>
      <c r="BN406" s="110"/>
    </row>
    <row r="407" spans="1:66" s="8" customFormat="1" ht="12.75" customHeight="1" x14ac:dyDescent="0.25">
      <c r="A407" s="150">
        <v>361</v>
      </c>
      <c r="B407" s="150">
        <v>32</v>
      </c>
      <c r="C407" s="90">
        <v>12</v>
      </c>
      <c r="D407" s="90" t="s">
        <v>148</v>
      </c>
      <c r="E407" s="91" t="s">
        <v>544</v>
      </c>
      <c r="F407" s="111" t="s">
        <v>16</v>
      </c>
      <c r="G407" s="111" t="s">
        <v>17</v>
      </c>
      <c r="H407" s="111" t="s">
        <v>150</v>
      </c>
      <c r="I407" s="135" t="s">
        <v>574</v>
      </c>
      <c r="J407" s="151">
        <v>45481</v>
      </c>
      <c r="K407" s="135" t="s">
        <v>117</v>
      </c>
      <c r="L407" s="135">
        <v>461000347</v>
      </c>
      <c r="M407" s="151">
        <v>45482</v>
      </c>
      <c r="N407" s="152">
        <v>45482.5625</v>
      </c>
      <c r="O407" s="152">
        <v>45482.5625</v>
      </c>
      <c r="P407" s="152">
        <v>45482.565972222219</v>
      </c>
      <c r="Q407" s="152">
        <v>45482.739583333336</v>
      </c>
      <c r="R407" s="152" t="s">
        <v>118</v>
      </c>
      <c r="S407" s="114" t="s">
        <v>118</v>
      </c>
      <c r="T407" s="114">
        <v>45482.753472222219</v>
      </c>
      <c r="U407" s="114">
        <v>45482.868055555555</v>
      </c>
      <c r="V407" s="165">
        <f t="shared" si="229"/>
        <v>0.17708333333575865</v>
      </c>
      <c r="W407" s="165">
        <v>0.20833333333333334</v>
      </c>
      <c r="X407" s="165" t="str">
        <f t="shared" si="230"/>
        <v>00:00</v>
      </c>
      <c r="Y407" s="96">
        <v>1</v>
      </c>
      <c r="Z407" s="96">
        <v>57</v>
      </c>
      <c r="AA407" s="96">
        <f t="shared" si="198"/>
        <v>58</v>
      </c>
      <c r="AB407" s="97">
        <f t="shared" si="199"/>
        <v>67.298275862068962</v>
      </c>
      <c r="AC407" s="97">
        <f t="shared" si="200"/>
        <v>3836.001724137931</v>
      </c>
      <c r="AD407" s="98">
        <v>3903.3</v>
      </c>
      <c r="AE407" s="98">
        <v>3967.9</v>
      </c>
      <c r="AF407" s="98">
        <v>3974</v>
      </c>
      <c r="AG407" s="98">
        <f t="shared" si="201"/>
        <v>70.699999999999818</v>
      </c>
      <c r="AH407" s="99">
        <v>672.5</v>
      </c>
      <c r="AI407" s="100">
        <f t="shared" si="202"/>
        <v>2672515</v>
      </c>
      <c r="AJ407" s="100">
        <f t="shared" si="238"/>
        <v>0</v>
      </c>
      <c r="AK407" s="100">
        <v>0</v>
      </c>
      <c r="AL407" s="100">
        <v>24140</v>
      </c>
      <c r="AM407" s="100">
        <v>0</v>
      </c>
      <c r="AN407" s="100">
        <v>0</v>
      </c>
      <c r="AO407" s="100">
        <v>0</v>
      </c>
      <c r="AP407" s="100">
        <f t="shared" si="226"/>
        <v>134833</v>
      </c>
      <c r="AQ407" s="101">
        <f t="shared" si="227"/>
        <v>2831488</v>
      </c>
      <c r="AR407" s="101">
        <v>0</v>
      </c>
      <c r="AS407" s="101">
        <v>0</v>
      </c>
      <c r="AT407" s="102" t="s">
        <v>33</v>
      </c>
      <c r="AU407" s="109">
        <v>1</v>
      </c>
      <c r="AV407" s="100">
        <f>7.74-5.74</f>
        <v>2</v>
      </c>
      <c r="AW407" s="105"/>
      <c r="AX407" s="106">
        <f t="shared" si="231"/>
        <v>1.7790639154504233</v>
      </c>
      <c r="AY407" s="101">
        <f t="shared" si="232"/>
        <v>47546</v>
      </c>
      <c r="AZ407" s="107"/>
      <c r="BA407" s="94">
        <v>45482.5625</v>
      </c>
      <c r="BB407" s="94">
        <v>45482.565972222219</v>
      </c>
      <c r="BC407" s="94">
        <v>45482.565972222219</v>
      </c>
      <c r="BD407" s="94">
        <v>45482.690972222219</v>
      </c>
      <c r="BE407" s="95">
        <f t="shared" si="233"/>
        <v>0.12847222221898846</v>
      </c>
      <c r="BF407" s="95">
        <v>2.0833333333333333E-3</v>
      </c>
      <c r="BG407" s="95">
        <v>2.7777777777777779E-3</v>
      </c>
      <c r="BH407" s="95">
        <f t="shared" si="234"/>
        <v>3.4722222189884633E-3</v>
      </c>
      <c r="BI407" s="95">
        <f t="shared" si="234"/>
        <v>0</v>
      </c>
      <c r="BJ407" s="95">
        <f t="shared" si="234"/>
        <v>0.125</v>
      </c>
      <c r="BK407" s="95">
        <f t="shared" si="235"/>
        <v>0.125</v>
      </c>
      <c r="BL407" s="95">
        <f t="shared" si="236"/>
        <v>0.12013888888888888</v>
      </c>
      <c r="BM407" s="95" t="str">
        <f t="shared" si="237"/>
        <v>00:00</v>
      </c>
      <c r="BN407" s="110"/>
    </row>
    <row r="408" spans="1:66" s="8" customFormat="1" ht="12.75" customHeight="1" x14ac:dyDescent="0.25">
      <c r="A408" s="150">
        <v>362</v>
      </c>
      <c r="B408" s="150">
        <v>33</v>
      </c>
      <c r="C408" s="90">
        <v>6</v>
      </c>
      <c r="D408" s="90" t="s">
        <v>113</v>
      </c>
      <c r="E408" s="91" t="s">
        <v>551</v>
      </c>
      <c r="F408" s="200" t="s">
        <v>29</v>
      </c>
      <c r="G408" s="200" t="s">
        <v>8</v>
      </c>
      <c r="H408" s="200" t="s">
        <v>124</v>
      </c>
      <c r="I408" s="135" t="s">
        <v>575</v>
      </c>
      <c r="J408" s="151">
        <v>45482</v>
      </c>
      <c r="K408" s="135" t="s">
        <v>122</v>
      </c>
      <c r="L408" s="135">
        <v>261005834</v>
      </c>
      <c r="M408" s="151">
        <v>45483</v>
      </c>
      <c r="N408" s="152">
        <v>45482.708333333336</v>
      </c>
      <c r="O408" s="152">
        <v>45482.708333333336</v>
      </c>
      <c r="P408" s="152">
        <v>45482.743055555555</v>
      </c>
      <c r="Q408" s="152">
        <v>45482.90625</v>
      </c>
      <c r="R408" s="152" t="s">
        <v>118</v>
      </c>
      <c r="S408" s="114" t="s">
        <v>118</v>
      </c>
      <c r="T408" s="114">
        <v>45482.9375</v>
      </c>
      <c r="U408" s="114">
        <v>45483.11041666667</v>
      </c>
      <c r="V408" s="165">
        <f t="shared" si="229"/>
        <v>0.19791666666424135</v>
      </c>
      <c r="W408" s="165">
        <v>0.20833333333333334</v>
      </c>
      <c r="X408" s="165" t="str">
        <f t="shared" si="230"/>
        <v>00:00</v>
      </c>
      <c r="Y408" s="96">
        <v>0</v>
      </c>
      <c r="Z408" s="96">
        <v>59</v>
      </c>
      <c r="AA408" s="96">
        <f t="shared" si="198"/>
        <v>59</v>
      </c>
      <c r="AB408" s="97">
        <f t="shared" si="199"/>
        <v>0</v>
      </c>
      <c r="AC408" s="97">
        <f t="shared" si="200"/>
        <v>3780.01</v>
      </c>
      <c r="AD408" s="98">
        <v>3780.01</v>
      </c>
      <c r="AE408" s="98">
        <v>4056.1</v>
      </c>
      <c r="AF408" s="98">
        <v>4056.2</v>
      </c>
      <c r="AG408" s="98">
        <f t="shared" si="201"/>
        <v>276.1899999999996</v>
      </c>
      <c r="AH408" s="99">
        <v>797.2</v>
      </c>
      <c r="AI408" s="100">
        <f t="shared" si="202"/>
        <v>3233602.64</v>
      </c>
      <c r="AJ408" s="100">
        <f t="shared" si="238"/>
        <v>0</v>
      </c>
      <c r="AK408" s="100">
        <v>0</v>
      </c>
      <c r="AL408" s="100">
        <v>0</v>
      </c>
      <c r="AM408" s="100">
        <v>0</v>
      </c>
      <c r="AN408" s="100">
        <v>0</v>
      </c>
      <c r="AO408" s="100">
        <v>0</v>
      </c>
      <c r="AP408" s="100">
        <f t="shared" si="226"/>
        <v>161681</v>
      </c>
      <c r="AQ408" s="101">
        <f t="shared" si="227"/>
        <v>3395284</v>
      </c>
      <c r="AR408" s="101">
        <v>0</v>
      </c>
      <c r="AS408" s="101">
        <v>0</v>
      </c>
      <c r="AT408" s="102" t="s">
        <v>33</v>
      </c>
      <c r="AU408" s="109" t="s">
        <v>118</v>
      </c>
      <c r="AV408" s="100">
        <v>0</v>
      </c>
      <c r="AW408" s="105"/>
      <c r="AX408" s="106">
        <f t="shared" si="231"/>
        <v>6.8090823923869532</v>
      </c>
      <c r="AY408" s="101">
        <f t="shared" si="232"/>
        <v>220179</v>
      </c>
      <c r="AZ408" s="107"/>
      <c r="BA408" s="94">
        <v>45482.708333333336</v>
      </c>
      <c r="BB408" s="94">
        <v>45482.743055555555</v>
      </c>
      <c r="BC408" s="94">
        <v>45482.743055555555</v>
      </c>
      <c r="BD408" s="94">
        <v>45482.887499999997</v>
      </c>
      <c r="BE408" s="95">
        <f t="shared" si="233"/>
        <v>0.17916666666133096</v>
      </c>
      <c r="BF408" s="95">
        <v>1.2500000000000001E-2</v>
      </c>
      <c r="BG408" s="95">
        <v>0</v>
      </c>
      <c r="BH408" s="95">
        <f t="shared" si="234"/>
        <v>3.4722222218988463E-2</v>
      </c>
      <c r="BI408" s="95">
        <f t="shared" si="234"/>
        <v>0</v>
      </c>
      <c r="BJ408" s="95">
        <f t="shared" si="234"/>
        <v>0.1444444444423425</v>
      </c>
      <c r="BK408" s="95">
        <f t="shared" si="235"/>
        <v>0.1444444444423425</v>
      </c>
      <c r="BL408" s="95">
        <f t="shared" si="236"/>
        <v>0.13194444444234249</v>
      </c>
      <c r="BM408" s="95" t="str">
        <f t="shared" si="237"/>
        <v>00:00</v>
      </c>
      <c r="BN408" s="110"/>
    </row>
    <row r="409" spans="1:66" s="8" customFormat="1" ht="12.75" customHeight="1" x14ac:dyDescent="0.25">
      <c r="A409" s="150">
        <v>363</v>
      </c>
      <c r="B409" s="150">
        <v>34</v>
      </c>
      <c r="C409" s="90">
        <v>13</v>
      </c>
      <c r="D409" s="90" t="s">
        <v>148</v>
      </c>
      <c r="E409" s="91" t="s">
        <v>544</v>
      </c>
      <c r="F409" s="111" t="s">
        <v>16</v>
      </c>
      <c r="G409" s="111" t="s">
        <v>17</v>
      </c>
      <c r="H409" s="111" t="s">
        <v>150</v>
      </c>
      <c r="I409" s="135" t="s">
        <v>576</v>
      </c>
      <c r="J409" s="151">
        <v>45482</v>
      </c>
      <c r="K409" s="135" t="s">
        <v>117</v>
      </c>
      <c r="L409" s="135">
        <v>461000348</v>
      </c>
      <c r="M409" s="151">
        <v>45483</v>
      </c>
      <c r="N409" s="152">
        <v>45483.138888888891</v>
      </c>
      <c r="O409" s="152">
        <v>45483.125</v>
      </c>
      <c r="P409" s="152">
        <v>45483.142361111109</v>
      </c>
      <c r="Q409" s="152">
        <v>45483.322916666664</v>
      </c>
      <c r="R409" s="152">
        <v>45483.138888888891</v>
      </c>
      <c r="S409" s="114" t="s">
        <v>118</v>
      </c>
      <c r="T409" s="114">
        <v>45483.333333333336</v>
      </c>
      <c r="U409" s="114">
        <v>45483.40625</v>
      </c>
      <c r="V409" s="165">
        <f t="shared" si="229"/>
        <v>0.19791666666424135</v>
      </c>
      <c r="W409" s="165">
        <v>0.20833333333333334</v>
      </c>
      <c r="X409" s="165" t="str">
        <f t="shared" si="230"/>
        <v>00:00</v>
      </c>
      <c r="Y409" s="96">
        <v>1</v>
      </c>
      <c r="Z409" s="96">
        <v>58</v>
      </c>
      <c r="AA409" s="96">
        <f t="shared" ref="AA409:AA472" si="239">+Y409+Z409</f>
        <v>59</v>
      </c>
      <c r="AB409" s="97">
        <f t="shared" ref="AB409:AB472" si="240">+AD409/AA409*Y409</f>
        <v>64.837627118644065</v>
      </c>
      <c r="AC409" s="97">
        <f t="shared" ref="AC409:AC472" si="241">+AD409/AA409*Z409</f>
        <v>3760.5823728813557</v>
      </c>
      <c r="AD409" s="98">
        <v>3825.42</v>
      </c>
      <c r="AE409" s="98">
        <v>4056</v>
      </c>
      <c r="AF409" s="98">
        <v>4056</v>
      </c>
      <c r="AG409" s="98">
        <f t="shared" ref="AG409:AG472" si="242">+AF409-AD409</f>
        <v>230.57999999999993</v>
      </c>
      <c r="AH409" s="99">
        <v>672.5</v>
      </c>
      <c r="AI409" s="100">
        <f t="shared" ref="AI409:AI472" si="243">+AF409*AH409</f>
        <v>2727660</v>
      </c>
      <c r="AJ409" s="100">
        <f t="shared" si="238"/>
        <v>0</v>
      </c>
      <c r="AK409" s="100">
        <v>0</v>
      </c>
      <c r="AL409" s="100">
        <v>0</v>
      </c>
      <c r="AM409" s="100">
        <v>0</v>
      </c>
      <c r="AN409" s="100">
        <v>0</v>
      </c>
      <c r="AO409" s="100">
        <v>0</v>
      </c>
      <c r="AP409" s="100">
        <f t="shared" si="226"/>
        <v>136383</v>
      </c>
      <c r="AQ409" s="101">
        <f t="shared" si="227"/>
        <v>2864043</v>
      </c>
      <c r="AR409" s="101">
        <v>0</v>
      </c>
      <c r="AS409" s="101">
        <v>0</v>
      </c>
      <c r="AT409" s="102" t="s">
        <v>33</v>
      </c>
      <c r="AU409" s="109" t="s">
        <v>118</v>
      </c>
      <c r="AV409" s="100">
        <v>0</v>
      </c>
      <c r="AW409" s="105"/>
      <c r="AX409" s="106">
        <f t="shared" si="231"/>
        <v>5.6849112426035484</v>
      </c>
      <c r="AY409" s="101">
        <f t="shared" si="232"/>
        <v>155066</v>
      </c>
      <c r="AZ409" s="107"/>
      <c r="BA409" s="94">
        <v>45483.138888888891</v>
      </c>
      <c r="BB409" s="94">
        <v>45483.142361111109</v>
      </c>
      <c r="BC409" s="94">
        <v>45483.142361111109</v>
      </c>
      <c r="BD409" s="94">
        <v>45483.290972222225</v>
      </c>
      <c r="BE409" s="95">
        <f t="shared" si="233"/>
        <v>0.15208333333430346</v>
      </c>
      <c r="BF409" s="95">
        <v>1.5972222222222221E-2</v>
      </c>
      <c r="BG409" s="95">
        <v>2.0833333333333333E-3</v>
      </c>
      <c r="BH409" s="95">
        <f t="shared" si="234"/>
        <v>3.4722222189884633E-3</v>
      </c>
      <c r="BI409" s="95">
        <f t="shared" si="234"/>
        <v>0</v>
      </c>
      <c r="BJ409" s="95">
        <f t="shared" si="234"/>
        <v>0.148611111115315</v>
      </c>
      <c r="BK409" s="95">
        <f t="shared" si="235"/>
        <v>0.148611111115315</v>
      </c>
      <c r="BL409" s="95">
        <f t="shared" si="236"/>
        <v>0.13055555555975945</v>
      </c>
      <c r="BM409" s="95" t="str">
        <f t="shared" si="237"/>
        <v>00:00</v>
      </c>
      <c r="BN409" s="110"/>
    </row>
    <row r="410" spans="1:66" s="8" customFormat="1" ht="12.75" customHeight="1" x14ac:dyDescent="0.25">
      <c r="A410" s="150">
        <v>364</v>
      </c>
      <c r="B410" s="150">
        <v>35</v>
      </c>
      <c r="C410" s="90">
        <v>7</v>
      </c>
      <c r="D410" s="90" t="s">
        <v>113</v>
      </c>
      <c r="E410" s="91" t="s">
        <v>551</v>
      </c>
      <c r="F410" s="200" t="s">
        <v>29</v>
      </c>
      <c r="G410" s="200" t="s">
        <v>8</v>
      </c>
      <c r="H410" s="200" t="s">
        <v>124</v>
      </c>
      <c r="I410" s="135" t="s">
        <v>577</v>
      </c>
      <c r="J410" s="151">
        <v>45483</v>
      </c>
      <c r="K410" s="135" t="s">
        <v>122</v>
      </c>
      <c r="L410" s="135">
        <v>461000349</v>
      </c>
      <c r="M410" s="151">
        <v>45484</v>
      </c>
      <c r="N410" s="152">
        <v>45483.861111111109</v>
      </c>
      <c r="O410" s="152">
        <v>45483.861111111109</v>
      </c>
      <c r="P410" s="152">
        <v>45483.864583333336</v>
      </c>
      <c r="Q410" s="152">
        <v>45483.993055555555</v>
      </c>
      <c r="R410" s="152" t="s">
        <v>118</v>
      </c>
      <c r="S410" s="114" t="s">
        <v>118</v>
      </c>
      <c r="T410" s="114">
        <v>45484.055555555555</v>
      </c>
      <c r="U410" s="114">
        <v>45484.202777777777</v>
      </c>
      <c r="V410" s="165">
        <f t="shared" si="229"/>
        <v>0.13194444444525288</v>
      </c>
      <c r="W410" s="165">
        <v>0.20833333333333334</v>
      </c>
      <c r="X410" s="165" t="str">
        <f t="shared" si="230"/>
        <v>00:00</v>
      </c>
      <c r="Y410" s="96">
        <v>8</v>
      </c>
      <c r="Z410" s="96">
        <v>51</v>
      </c>
      <c r="AA410" s="96">
        <f t="shared" si="239"/>
        <v>59</v>
      </c>
      <c r="AB410" s="97">
        <f t="shared" si="240"/>
        <v>536.97762711864402</v>
      </c>
      <c r="AC410" s="97">
        <f t="shared" si="241"/>
        <v>3423.2323728813558</v>
      </c>
      <c r="AD410" s="98">
        <v>3960.21</v>
      </c>
      <c r="AE410" s="98">
        <v>4045</v>
      </c>
      <c r="AF410" s="98">
        <v>4050.6</v>
      </c>
      <c r="AG410" s="98">
        <f t="shared" si="242"/>
        <v>90.389999999999873</v>
      </c>
      <c r="AH410" s="99">
        <v>797.2</v>
      </c>
      <c r="AI410" s="100">
        <f t="shared" si="243"/>
        <v>3229138.3200000003</v>
      </c>
      <c r="AJ410" s="100">
        <f t="shared" si="238"/>
        <v>0</v>
      </c>
      <c r="AK410" s="100">
        <v>0</v>
      </c>
      <c r="AL410" s="100">
        <v>0</v>
      </c>
      <c r="AM410" s="100">
        <v>0</v>
      </c>
      <c r="AN410" s="100">
        <v>0</v>
      </c>
      <c r="AO410" s="100">
        <v>0</v>
      </c>
      <c r="AP410" s="100">
        <f t="shared" si="226"/>
        <v>161457</v>
      </c>
      <c r="AQ410" s="101">
        <f t="shared" si="227"/>
        <v>3390596</v>
      </c>
      <c r="AR410" s="101">
        <v>0</v>
      </c>
      <c r="AS410" s="101">
        <v>0</v>
      </c>
      <c r="AT410" s="102" t="s">
        <v>33</v>
      </c>
      <c r="AU410" s="109" t="s">
        <v>118</v>
      </c>
      <c r="AV410" s="100">
        <v>0</v>
      </c>
      <c r="AW410" s="105"/>
      <c r="AX410" s="106">
        <f t="shared" si="231"/>
        <v>2.2315212561102027</v>
      </c>
      <c r="AY410" s="101">
        <f t="shared" si="232"/>
        <v>72059</v>
      </c>
      <c r="AZ410" s="107"/>
      <c r="BA410" s="94">
        <v>45483.861111111109</v>
      </c>
      <c r="BB410" s="94">
        <v>45483.864583333336</v>
      </c>
      <c r="BC410" s="94">
        <v>45483.911111111112</v>
      </c>
      <c r="BD410" s="94">
        <v>45484.069444444445</v>
      </c>
      <c r="BE410" s="95">
        <f t="shared" si="233"/>
        <v>0.20833333333575865</v>
      </c>
      <c r="BF410" s="95">
        <v>6.0416666666666667E-2</v>
      </c>
      <c r="BG410" s="95">
        <v>6.2500000000000003E-3</v>
      </c>
      <c r="BH410" s="95">
        <f t="shared" si="234"/>
        <v>3.4722222262644209E-3</v>
      </c>
      <c r="BI410" s="95">
        <f t="shared" si="234"/>
        <v>4.6527777776645962E-2</v>
      </c>
      <c r="BJ410" s="95">
        <f t="shared" si="234"/>
        <v>0.15833333333284827</v>
      </c>
      <c r="BK410" s="95">
        <f t="shared" si="235"/>
        <v>0.20486111110949423</v>
      </c>
      <c r="BL410" s="95">
        <f t="shared" si="236"/>
        <v>0.13819444444282755</v>
      </c>
      <c r="BM410" s="95">
        <f t="shared" si="237"/>
        <v>2.4253099528692701E-12</v>
      </c>
      <c r="BN410" s="110"/>
    </row>
    <row r="411" spans="1:66" s="8" customFormat="1" ht="12.75" customHeight="1" x14ac:dyDescent="0.25">
      <c r="A411" s="150">
        <v>365</v>
      </c>
      <c r="B411" s="150">
        <v>36</v>
      </c>
      <c r="C411" s="90">
        <v>14</v>
      </c>
      <c r="D411" s="90" t="s">
        <v>148</v>
      </c>
      <c r="E411" s="91" t="s">
        <v>544</v>
      </c>
      <c r="F411" s="90" t="s">
        <v>16</v>
      </c>
      <c r="G411" s="90" t="s">
        <v>17</v>
      </c>
      <c r="H411" s="90" t="s">
        <v>150</v>
      </c>
      <c r="I411" s="135" t="s">
        <v>578</v>
      </c>
      <c r="J411" s="151">
        <v>45483</v>
      </c>
      <c r="K411" s="135" t="s">
        <v>117</v>
      </c>
      <c r="L411" s="135">
        <v>461000350</v>
      </c>
      <c r="M411" s="151">
        <v>45484</v>
      </c>
      <c r="N411" s="152">
        <v>45484.0625</v>
      </c>
      <c r="O411" s="152">
        <v>45484.0625</v>
      </c>
      <c r="P411" s="152">
        <v>45484.065972222219</v>
      </c>
      <c r="Q411" s="152">
        <v>45484.270833333336</v>
      </c>
      <c r="R411" s="152" t="s">
        <v>118</v>
      </c>
      <c r="S411" s="114" t="s">
        <v>118</v>
      </c>
      <c r="T411" s="114">
        <v>45484.291666666664</v>
      </c>
      <c r="U411" s="114">
        <v>45484.386805555558</v>
      </c>
      <c r="V411" s="165">
        <f t="shared" si="229"/>
        <v>0.20833333333575865</v>
      </c>
      <c r="W411" s="165">
        <v>0.20833333333333334</v>
      </c>
      <c r="X411" s="165">
        <f t="shared" si="230"/>
        <v>2.4253099528692701E-12</v>
      </c>
      <c r="Y411" s="96">
        <v>5</v>
      </c>
      <c r="Z411" s="96">
        <v>54</v>
      </c>
      <c r="AA411" s="96">
        <f t="shared" si="239"/>
        <v>59</v>
      </c>
      <c r="AB411" s="97">
        <f t="shared" si="240"/>
        <v>339.71525423728815</v>
      </c>
      <c r="AC411" s="97">
        <f t="shared" si="241"/>
        <v>3668.9247457627121</v>
      </c>
      <c r="AD411" s="98">
        <v>4008.64</v>
      </c>
      <c r="AE411" s="98">
        <v>4042.2</v>
      </c>
      <c r="AF411" s="98">
        <v>4054.6</v>
      </c>
      <c r="AG411" s="98">
        <f t="shared" si="242"/>
        <v>45.960000000000036</v>
      </c>
      <c r="AH411" s="99">
        <v>672.5</v>
      </c>
      <c r="AI411" s="100">
        <f t="shared" si="243"/>
        <v>2726718.5</v>
      </c>
      <c r="AJ411" s="100">
        <f>(2*AH411)*2</f>
        <v>2690</v>
      </c>
      <c r="AK411" s="100">
        <v>0</v>
      </c>
      <c r="AL411" s="100">
        <v>0</v>
      </c>
      <c r="AM411" s="100">
        <v>0</v>
      </c>
      <c r="AN411" s="100">
        <v>0</v>
      </c>
      <c r="AO411" s="100">
        <v>0</v>
      </c>
      <c r="AP411" s="100">
        <f t="shared" si="226"/>
        <v>136471</v>
      </c>
      <c r="AQ411" s="101">
        <f t="shared" si="227"/>
        <v>2865880</v>
      </c>
      <c r="AR411" s="101">
        <v>0</v>
      </c>
      <c r="AS411" s="101">
        <v>0</v>
      </c>
      <c r="AT411" s="102" t="s">
        <v>33</v>
      </c>
      <c r="AU411" s="109" t="s">
        <v>118</v>
      </c>
      <c r="AV411" s="100">
        <v>0</v>
      </c>
      <c r="AW411" s="105"/>
      <c r="AX411" s="106">
        <f t="shared" si="231"/>
        <v>1.1335273516499786</v>
      </c>
      <c r="AY411" s="101">
        <f t="shared" si="232"/>
        <v>30909</v>
      </c>
      <c r="AZ411" s="107"/>
      <c r="BA411" s="94">
        <v>45484.0625</v>
      </c>
      <c r="BB411" s="94">
        <v>45484.065972222219</v>
      </c>
      <c r="BC411" s="94">
        <v>45484.128472222219</v>
      </c>
      <c r="BD411" s="94">
        <v>45484.254166666666</v>
      </c>
      <c r="BE411" s="95">
        <f t="shared" si="233"/>
        <v>0.19166666666569654</v>
      </c>
      <c r="BF411" s="95">
        <v>5.2083333333333336E-2</v>
      </c>
      <c r="BG411" s="95">
        <v>1.2500000000000001E-2</v>
      </c>
      <c r="BH411" s="95">
        <f t="shared" si="234"/>
        <v>3.4722222189884633E-3</v>
      </c>
      <c r="BI411" s="95">
        <f t="shared" si="234"/>
        <v>6.25E-2</v>
      </c>
      <c r="BJ411" s="95">
        <f t="shared" si="234"/>
        <v>0.12569444444670808</v>
      </c>
      <c r="BK411" s="95">
        <f t="shared" si="235"/>
        <v>0.18819444444670808</v>
      </c>
      <c r="BL411" s="95">
        <f t="shared" si="236"/>
        <v>0.12361111111337474</v>
      </c>
      <c r="BM411" s="95" t="str">
        <f t="shared" si="237"/>
        <v>00:00</v>
      </c>
      <c r="BN411" s="110"/>
    </row>
    <row r="412" spans="1:66" s="8" customFormat="1" ht="12.75" customHeight="1" x14ac:dyDescent="0.25">
      <c r="A412" s="150">
        <v>366</v>
      </c>
      <c r="B412" s="150">
        <v>37</v>
      </c>
      <c r="C412" s="90">
        <v>6</v>
      </c>
      <c r="D412" s="90" t="s">
        <v>148</v>
      </c>
      <c r="E412" s="91" t="s">
        <v>560</v>
      </c>
      <c r="F412" s="90" t="s">
        <v>19</v>
      </c>
      <c r="G412" s="90" t="s">
        <v>17</v>
      </c>
      <c r="H412" s="90" t="s">
        <v>150</v>
      </c>
      <c r="I412" s="135" t="s">
        <v>579</v>
      </c>
      <c r="J412" s="151">
        <v>45483</v>
      </c>
      <c r="K412" s="135" t="s">
        <v>122</v>
      </c>
      <c r="L412" s="135">
        <v>461000351</v>
      </c>
      <c r="M412" s="151">
        <v>45484</v>
      </c>
      <c r="N412" s="152">
        <v>45484.319444444445</v>
      </c>
      <c r="O412" s="152">
        <v>45484.319444444445</v>
      </c>
      <c r="P412" s="152">
        <v>45484.322916666664</v>
      </c>
      <c r="Q412" s="152">
        <v>45484.5</v>
      </c>
      <c r="R412" s="152" t="s">
        <v>118</v>
      </c>
      <c r="S412" s="114" t="s">
        <v>118</v>
      </c>
      <c r="T412" s="114">
        <v>45484.583333333336</v>
      </c>
      <c r="U412" s="114">
        <v>45484.680555555555</v>
      </c>
      <c r="V412" s="165">
        <f t="shared" si="229"/>
        <v>0.18055555555474712</v>
      </c>
      <c r="W412" s="165">
        <v>0.20833333333333334</v>
      </c>
      <c r="X412" s="165" t="str">
        <f t="shared" si="230"/>
        <v>00:00</v>
      </c>
      <c r="Y412" s="96">
        <v>1</v>
      </c>
      <c r="Z412" s="96">
        <v>58</v>
      </c>
      <c r="AA412" s="96">
        <f t="shared" si="239"/>
        <v>59</v>
      </c>
      <c r="AB412" s="97">
        <f t="shared" si="240"/>
        <v>68.446271186440683</v>
      </c>
      <c r="AC412" s="97">
        <f t="shared" si="241"/>
        <v>3969.8837288135596</v>
      </c>
      <c r="AD412" s="98">
        <v>4038.33</v>
      </c>
      <c r="AE412" s="98">
        <v>4039.5</v>
      </c>
      <c r="AF412" s="98">
        <v>4061.4</v>
      </c>
      <c r="AG412" s="98">
        <f t="shared" si="242"/>
        <v>23.070000000000164</v>
      </c>
      <c r="AH412" s="99">
        <v>672.5</v>
      </c>
      <c r="AI412" s="100">
        <f t="shared" si="243"/>
        <v>2731291.5</v>
      </c>
      <c r="AJ412" s="100">
        <f>(0*AH412)*2</f>
        <v>0</v>
      </c>
      <c r="AK412" s="100">
        <v>0</v>
      </c>
      <c r="AL412" s="100">
        <v>24290</v>
      </c>
      <c r="AM412" s="100">
        <v>0</v>
      </c>
      <c r="AN412" s="100">
        <v>0</v>
      </c>
      <c r="AO412" s="100">
        <v>0</v>
      </c>
      <c r="AP412" s="100">
        <f t="shared" si="226"/>
        <v>137780</v>
      </c>
      <c r="AQ412" s="101">
        <f t="shared" si="227"/>
        <v>2893362</v>
      </c>
      <c r="AR412" s="101">
        <v>0</v>
      </c>
      <c r="AS412" s="101">
        <v>0</v>
      </c>
      <c r="AT412" s="102" t="s">
        <v>33</v>
      </c>
      <c r="AU412" s="109">
        <v>12</v>
      </c>
      <c r="AV412" s="100">
        <f>33.6-18.6</f>
        <v>15</v>
      </c>
      <c r="AW412" s="105"/>
      <c r="AX412" s="106">
        <f t="shared" si="231"/>
        <v>0.56803072832028767</v>
      </c>
      <c r="AY412" s="101">
        <f t="shared" si="232"/>
        <v>15515</v>
      </c>
      <c r="AZ412" s="107"/>
      <c r="BA412" s="94">
        <v>45484.319444444445</v>
      </c>
      <c r="BB412" s="94">
        <v>45484.322916666664</v>
      </c>
      <c r="BC412" s="94">
        <v>45484.329861111109</v>
      </c>
      <c r="BD412" s="94">
        <v>45484.482638888891</v>
      </c>
      <c r="BE412" s="95">
        <f t="shared" si="233"/>
        <v>0.16319444444525288</v>
      </c>
      <c r="BF412" s="95">
        <v>1.1111111111111112E-2</v>
      </c>
      <c r="BG412" s="95">
        <v>2.0833333333333333E-3</v>
      </c>
      <c r="BH412" s="95">
        <f t="shared" si="234"/>
        <v>3.4722222189884633E-3</v>
      </c>
      <c r="BI412" s="95">
        <f t="shared" si="234"/>
        <v>6.9444444452528842E-3</v>
      </c>
      <c r="BJ412" s="95">
        <f t="shared" si="234"/>
        <v>0.15277777778101154</v>
      </c>
      <c r="BK412" s="95">
        <f t="shared" si="235"/>
        <v>0.15972222222626442</v>
      </c>
      <c r="BL412" s="95">
        <f t="shared" si="236"/>
        <v>0.14652777778182</v>
      </c>
      <c r="BM412" s="95" t="str">
        <f t="shared" si="237"/>
        <v>00:00</v>
      </c>
      <c r="BN412" s="110"/>
    </row>
    <row r="413" spans="1:66" s="8" customFormat="1" ht="12.75" customHeight="1" x14ac:dyDescent="0.25">
      <c r="A413" s="150">
        <v>367</v>
      </c>
      <c r="B413" s="150">
        <v>38</v>
      </c>
      <c r="C413" s="90">
        <v>7</v>
      </c>
      <c r="D413" s="90" t="s">
        <v>148</v>
      </c>
      <c r="E413" s="91" t="s">
        <v>560</v>
      </c>
      <c r="F413" s="111" t="s">
        <v>19</v>
      </c>
      <c r="G413" s="111" t="s">
        <v>17</v>
      </c>
      <c r="H413" s="111" t="s">
        <v>150</v>
      </c>
      <c r="I413" s="135" t="s">
        <v>580</v>
      </c>
      <c r="J413" s="151">
        <v>45483</v>
      </c>
      <c r="K413" s="135" t="s">
        <v>117</v>
      </c>
      <c r="L413" s="135">
        <v>461000352</v>
      </c>
      <c r="M413" s="151">
        <v>45484</v>
      </c>
      <c r="N413" s="152">
        <v>45484.479166666664</v>
      </c>
      <c r="O413" s="152">
        <v>45484.479166666664</v>
      </c>
      <c r="P413" s="152">
        <v>45484.482638888891</v>
      </c>
      <c r="Q413" s="152">
        <v>45484.677083333336</v>
      </c>
      <c r="R413" s="152" t="s">
        <v>118</v>
      </c>
      <c r="S413" s="114" t="s">
        <v>118</v>
      </c>
      <c r="T413" s="114">
        <v>45484.729166666664</v>
      </c>
      <c r="U413" s="114">
        <v>45484.826388888891</v>
      </c>
      <c r="V413" s="165">
        <f t="shared" si="229"/>
        <v>0.19791666667151731</v>
      </c>
      <c r="W413" s="165">
        <v>0.20833333333333334</v>
      </c>
      <c r="X413" s="165" t="str">
        <f t="shared" si="230"/>
        <v>00:00</v>
      </c>
      <c r="Y413" s="96">
        <v>5</v>
      </c>
      <c r="Z413" s="96">
        <v>53</v>
      </c>
      <c r="AA413" s="96">
        <f t="shared" si="239"/>
        <v>58</v>
      </c>
      <c r="AB413" s="97">
        <f t="shared" si="240"/>
        <v>345.33275862068967</v>
      </c>
      <c r="AC413" s="97">
        <f t="shared" si="241"/>
        <v>3660.5272413793109</v>
      </c>
      <c r="AD413" s="98">
        <v>4005.86</v>
      </c>
      <c r="AE413" s="98">
        <v>4000.1</v>
      </c>
      <c r="AF413" s="98">
        <v>4013.4</v>
      </c>
      <c r="AG413" s="98">
        <f t="shared" si="242"/>
        <v>7.5399999999999636</v>
      </c>
      <c r="AH413" s="99">
        <v>672.5</v>
      </c>
      <c r="AI413" s="100">
        <f t="shared" si="243"/>
        <v>2699011.5</v>
      </c>
      <c r="AJ413" s="100">
        <f>(7*AH413)*3</f>
        <v>14122.5</v>
      </c>
      <c r="AK413" s="100">
        <v>0</v>
      </c>
      <c r="AL413" s="100">
        <v>0</v>
      </c>
      <c r="AM413" s="100">
        <v>0</v>
      </c>
      <c r="AN413" s="100">
        <v>0</v>
      </c>
      <c r="AO413" s="100">
        <v>0</v>
      </c>
      <c r="AP413" s="100">
        <f t="shared" si="226"/>
        <v>135657</v>
      </c>
      <c r="AQ413" s="101">
        <f t="shared" si="227"/>
        <v>2848791</v>
      </c>
      <c r="AR413" s="101">
        <v>0</v>
      </c>
      <c r="AS413" s="101">
        <v>0</v>
      </c>
      <c r="AT413" s="102" t="s">
        <v>33</v>
      </c>
      <c r="AU413" s="109" t="s">
        <v>118</v>
      </c>
      <c r="AV413" s="100">
        <v>0</v>
      </c>
      <c r="AW413" s="105"/>
      <c r="AX413" s="106">
        <f t="shared" si="231"/>
        <v>0.18787063337818219</v>
      </c>
      <c r="AY413" s="101">
        <f t="shared" si="232"/>
        <v>5071</v>
      </c>
      <c r="AZ413" s="107"/>
      <c r="BA413" s="94">
        <v>45484.479166666664</v>
      </c>
      <c r="BB413" s="94">
        <v>45484.482638888891</v>
      </c>
      <c r="BC413" s="94">
        <v>45484.503472222219</v>
      </c>
      <c r="BD413" s="94">
        <v>45484.638888888891</v>
      </c>
      <c r="BE413" s="95">
        <f t="shared" si="233"/>
        <v>0.15972222222626442</v>
      </c>
      <c r="BF413" s="95">
        <v>1.0416666666666666E-2</v>
      </c>
      <c r="BG413" s="95">
        <v>2.361111111111111E-2</v>
      </c>
      <c r="BH413" s="95">
        <f t="shared" si="234"/>
        <v>3.4722222262644209E-3</v>
      </c>
      <c r="BI413" s="95">
        <f t="shared" si="234"/>
        <v>2.0833333328482695E-2</v>
      </c>
      <c r="BJ413" s="95">
        <f t="shared" si="234"/>
        <v>0.13541666667151731</v>
      </c>
      <c r="BK413" s="95">
        <f t="shared" si="235"/>
        <v>0.15625</v>
      </c>
      <c r="BL413" s="95">
        <f t="shared" si="236"/>
        <v>0.12222222222222223</v>
      </c>
      <c r="BM413" s="95" t="str">
        <f t="shared" si="237"/>
        <v>00:00</v>
      </c>
      <c r="BN413" s="110"/>
    </row>
    <row r="414" spans="1:66" s="8" customFormat="1" ht="12.75" customHeight="1" x14ac:dyDescent="0.25">
      <c r="A414" s="150">
        <v>368</v>
      </c>
      <c r="B414" s="150">
        <v>39</v>
      </c>
      <c r="C414" s="90">
        <v>8</v>
      </c>
      <c r="D414" s="90" t="s">
        <v>113</v>
      </c>
      <c r="E414" s="91" t="s">
        <v>551</v>
      </c>
      <c r="F414" s="200" t="s">
        <v>29</v>
      </c>
      <c r="G414" s="200" t="s">
        <v>8</v>
      </c>
      <c r="H414" s="200" t="s">
        <v>124</v>
      </c>
      <c r="I414" s="135" t="s">
        <v>581</v>
      </c>
      <c r="J414" s="151">
        <v>45484</v>
      </c>
      <c r="K414" s="135" t="s">
        <v>122</v>
      </c>
      <c r="L414" s="135">
        <v>261005841</v>
      </c>
      <c r="M414" s="151">
        <v>45485</v>
      </c>
      <c r="N414" s="152">
        <v>45484.71875</v>
      </c>
      <c r="O414" s="152">
        <v>45484.708333333336</v>
      </c>
      <c r="P414" s="152">
        <v>45484.767361111109</v>
      </c>
      <c r="Q414" s="152">
        <v>45484.916666666664</v>
      </c>
      <c r="R414" s="152">
        <v>45484.71875</v>
      </c>
      <c r="S414" s="114">
        <v>45484.986111111109</v>
      </c>
      <c r="T414" s="114">
        <v>45485.013888888891</v>
      </c>
      <c r="U414" s="114">
        <v>45485.099305555559</v>
      </c>
      <c r="V414" s="165">
        <f t="shared" si="229"/>
        <v>0.20833333332848269</v>
      </c>
      <c r="W414" s="165">
        <v>0.20833333333333334</v>
      </c>
      <c r="X414" s="165" t="str">
        <f t="shared" si="230"/>
        <v>00:00</v>
      </c>
      <c r="Y414" s="96">
        <v>16</v>
      </c>
      <c r="Z414" s="96">
        <v>41</v>
      </c>
      <c r="AA414" s="96">
        <f t="shared" si="239"/>
        <v>57</v>
      </c>
      <c r="AB414" s="97">
        <f t="shared" si="240"/>
        <v>1072.3312280701755</v>
      </c>
      <c r="AC414" s="97">
        <f t="shared" si="241"/>
        <v>2747.8487719298246</v>
      </c>
      <c r="AD414" s="98">
        <v>3820.18</v>
      </c>
      <c r="AE414" s="98">
        <v>3906.9</v>
      </c>
      <c r="AF414" s="98">
        <v>3911.8</v>
      </c>
      <c r="AG414" s="98">
        <f t="shared" si="242"/>
        <v>91.620000000000346</v>
      </c>
      <c r="AH414" s="99">
        <v>797.2</v>
      </c>
      <c r="AI414" s="100">
        <f t="shared" si="243"/>
        <v>3118486.9600000004</v>
      </c>
      <c r="AJ414" s="100">
        <f>(0.4*AH414)*2</f>
        <v>637.7600000000001</v>
      </c>
      <c r="AK414" s="100">
        <v>0</v>
      </c>
      <c r="AL414" s="100">
        <v>0</v>
      </c>
      <c r="AM414" s="100">
        <v>0</v>
      </c>
      <c r="AN414" s="100">
        <v>0</v>
      </c>
      <c r="AO414" s="100">
        <v>0</v>
      </c>
      <c r="AP414" s="100">
        <f t="shared" si="226"/>
        <v>155957</v>
      </c>
      <c r="AQ414" s="101">
        <f t="shared" ref="AQ414:AQ433" si="244">ROUNDUP(SUM(AI414:AP414),0)</f>
        <v>3275082</v>
      </c>
      <c r="AR414" s="101">
        <v>0</v>
      </c>
      <c r="AS414" s="101">
        <v>0</v>
      </c>
      <c r="AT414" s="102" t="s">
        <v>33</v>
      </c>
      <c r="AU414" s="109" t="s">
        <v>118</v>
      </c>
      <c r="AV414" s="100">
        <v>0</v>
      </c>
      <c r="AW414" s="105"/>
      <c r="AX414" s="106">
        <f t="shared" si="231"/>
        <v>2.3421442814049884</v>
      </c>
      <c r="AY414" s="101">
        <f t="shared" si="232"/>
        <v>73040</v>
      </c>
      <c r="AZ414" s="107"/>
      <c r="BA414" s="94">
        <v>45484.71875</v>
      </c>
      <c r="BB414" s="94">
        <v>45484.767361111109</v>
      </c>
      <c r="BC414" s="94">
        <v>45484.767361111109</v>
      </c>
      <c r="BD414" s="94">
        <v>45484.980555555558</v>
      </c>
      <c r="BE414" s="95">
        <f t="shared" si="233"/>
        <v>0.2618055555576575</v>
      </c>
      <c r="BF414" s="95">
        <v>0</v>
      </c>
      <c r="BG414" s="95">
        <v>0.12916666666666668</v>
      </c>
      <c r="BH414" s="95">
        <f t="shared" si="234"/>
        <v>4.8611111109494232E-2</v>
      </c>
      <c r="BI414" s="95">
        <f t="shared" si="234"/>
        <v>0</v>
      </c>
      <c r="BJ414" s="95">
        <f t="shared" si="234"/>
        <v>0.21319444444816327</v>
      </c>
      <c r="BK414" s="95">
        <f t="shared" si="235"/>
        <v>0.21319444444816327</v>
      </c>
      <c r="BL414" s="95">
        <f t="shared" si="236"/>
        <v>8.4027777781496588E-2</v>
      </c>
      <c r="BM414" s="95">
        <f t="shared" si="237"/>
        <v>5.3472222224324156E-2</v>
      </c>
      <c r="BN414" s="110"/>
    </row>
    <row r="415" spans="1:66" s="8" customFormat="1" ht="12.75" customHeight="1" x14ac:dyDescent="0.25">
      <c r="A415" s="150">
        <v>369</v>
      </c>
      <c r="B415" s="150">
        <v>40</v>
      </c>
      <c r="C415" s="90">
        <v>8</v>
      </c>
      <c r="D415" s="90" t="s">
        <v>148</v>
      </c>
      <c r="E415" s="91" t="s">
        <v>560</v>
      </c>
      <c r="F415" s="111" t="s">
        <v>19</v>
      </c>
      <c r="G415" s="111" t="s">
        <v>17</v>
      </c>
      <c r="H415" s="111" t="s">
        <v>150</v>
      </c>
      <c r="I415" s="135" t="s">
        <v>582</v>
      </c>
      <c r="J415" s="151">
        <v>45483</v>
      </c>
      <c r="K415" s="135" t="s">
        <v>117</v>
      </c>
      <c r="L415" s="135">
        <v>461000353</v>
      </c>
      <c r="M415" s="151">
        <v>45485</v>
      </c>
      <c r="N415" s="152">
        <v>45484.989583333336</v>
      </c>
      <c r="O415" s="152">
        <v>45484.989583333336</v>
      </c>
      <c r="P415" s="152">
        <v>45484.993055555555</v>
      </c>
      <c r="Q415" s="152">
        <v>45485.1875</v>
      </c>
      <c r="R415" s="152" t="s">
        <v>118</v>
      </c>
      <c r="S415" s="114" t="s">
        <v>118</v>
      </c>
      <c r="T415" s="114">
        <v>45485.197916666664</v>
      </c>
      <c r="U415" s="114">
        <v>45485.368055555555</v>
      </c>
      <c r="V415" s="165">
        <f t="shared" si="229"/>
        <v>0.19791666666424135</v>
      </c>
      <c r="W415" s="165">
        <v>0.20833333333333334</v>
      </c>
      <c r="X415" s="165" t="str">
        <f t="shared" si="230"/>
        <v>00:00</v>
      </c>
      <c r="Y415" s="96">
        <v>10</v>
      </c>
      <c r="Z415" s="96">
        <v>49</v>
      </c>
      <c r="AA415" s="96">
        <f t="shared" si="239"/>
        <v>59</v>
      </c>
      <c r="AB415" s="97">
        <f t="shared" si="240"/>
        <v>685.25254237288141</v>
      </c>
      <c r="AC415" s="97">
        <f t="shared" si="241"/>
        <v>3357.7374576271186</v>
      </c>
      <c r="AD415" s="98">
        <v>4042.99</v>
      </c>
      <c r="AE415" s="98">
        <v>4029.7</v>
      </c>
      <c r="AF415" s="98">
        <v>4057.4</v>
      </c>
      <c r="AG415" s="98">
        <f t="shared" si="242"/>
        <v>14.410000000000309</v>
      </c>
      <c r="AH415" s="99">
        <v>672.5</v>
      </c>
      <c r="AI415" s="100">
        <f t="shared" si="243"/>
        <v>2728601.5</v>
      </c>
      <c r="AJ415" s="100">
        <f>(0*AH415)*2</f>
        <v>0</v>
      </c>
      <c r="AK415" s="100">
        <v>0</v>
      </c>
      <c r="AL415" s="100">
        <v>24290</v>
      </c>
      <c r="AM415" s="100">
        <v>0</v>
      </c>
      <c r="AN415" s="100">
        <v>0</v>
      </c>
      <c r="AO415" s="100">
        <v>0</v>
      </c>
      <c r="AP415" s="100">
        <f t="shared" si="226"/>
        <v>137645</v>
      </c>
      <c r="AQ415" s="101">
        <f t="shared" si="244"/>
        <v>2890537</v>
      </c>
      <c r="AR415" s="101">
        <v>0</v>
      </c>
      <c r="AS415" s="101">
        <v>0</v>
      </c>
      <c r="AT415" s="102" t="s">
        <v>33</v>
      </c>
      <c r="AU415" s="109">
        <v>14</v>
      </c>
      <c r="AV415" s="100">
        <f>35.51-24.01</f>
        <v>11.499999999999996</v>
      </c>
      <c r="AW415" s="105"/>
      <c r="AX415" s="106">
        <f t="shared" si="231"/>
        <v>0.35515354660620863</v>
      </c>
      <c r="AY415" s="101">
        <f t="shared" si="232"/>
        <v>9691</v>
      </c>
      <c r="AZ415" s="107"/>
      <c r="BA415" s="94">
        <v>45484.989583333336</v>
      </c>
      <c r="BB415" s="94">
        <v>45484.993055555555</v>
      </c>
      <c r="BC415" s="94">
        <v>45485.022222222222</v>
      </c>
      <c r="BD415" s="94">
        <v>45485.131944444445</v>
      </c>
      <c r="BE415" s="95">
        <f t="shared" si="233"/>
        <v>0.14236111110949423</v>
      </c>
      <c r="BF415" s="95">
        <v>0</v>
      </c>
      <c r="BG415" s="95">
        <v>3.125E-2</v>
      </c>
      <c r="BH415" s="95">
        <f t="shared" si="234"/>
        <v>3.4722222189884633E-3</v>
      </c>
      <c r="BI415" s="95">
        <f t="shared" si="234"/>
        <v>2.9166666667151731E-2</v>
      </c>
      <c r="BJ415" s="95">
        <f t="shared" si="234"/>
        <v>0.10972222222335404</v>
      </c>
      <c r="BK415" s="95">
        <f t="shared" si="235"/>
        <v>0.13888888889050577</v>
      </c>
      <c r="BL415" s="95">
        <f t="shared" si="236"/>
        <v>0.10763888889050577</v>
      </c>
      <c r="BM415" s="95" t="str">
        <f t="shared" si="237"/>
        <v>00:00</v>
      </c>
      <c r="BN415" s="110"/>
    </row>
    <row r="416" spans="1:66" s="8" customFormat="1" ht="12.75" customHeight="1" x14ac:dyDescent="0.25">
      <c r="A416" s="150">
        <v>370</v>
      </c>
      <c r="B416" s="150">
        <v>41</v>
      </c>
      <c r="C416" s="90">
        <v>9</v>
      </c>
      <c r="D416" s="90" t="s">
        <v>148</v>
      </c>
      <c r="E416" s="91" t="s">
        <v>560</v>
      </c>
      <c r="F416" s="111" t="s">
        <v>19</v>
      </c>
      <c r="G416" s="111" t="s">
        <v>17</v>
      </c>
      <c r="H416" s="111" t="s">
        <v>150</v>
      </c>
      <c r="I416" s="135" t="s">
        <v>583</v>
      </c>
      <c r="J416" s="151">
        <v>45484</v>
      </c>
      <c r="K416" s="135" t="s">
        <v>122</v>
      </c>
      <c r="L416" s="135">
        <v>461000354</v>
      </c>
      <c r="M416" s="151">
        <v>45485</v>
      </c>
      <c r="N416" s="152">
        <v>45485.388888888891</v>
      </c>
      <c r="O416" s="152">
        <v>45485.375</v>
      </c>
      <c r="P416" s="152">
        <v>45485.40625</v>
      </c>
      <c r="Q416" s="152">
        <v>45485.583333333336</v>
      </c>
      <c r="R416" s="152">
        <v>45485.388888888891</v>
      </c>
      <c r="S416" s="114" t="s">
        <v>118</v>
      </c>
      <c r="T416" s="114">
        <v>45485.625</v>
      </c>
      <c r="U416" s="114">
        <v>45485.708333333336</v>
      </c>
      <c r="V416" s="165">
        <f t="shared" si="229"/>
        <v>0.20833333333575865</v>
      </c>
      <c r="W416" s="165">
        <v>0.20833333333333334</v>
      </c>
      <c r="X416" s="165">
        <f t="shared" si="230"/>
        <v>2.4253099528692701E-12</v>
      </c>
      <c r="Y416" s="96">
        <v>1</v>
      </c>
      <c r="Z416" s="96">
        <v>58</v>
      </c>
      <c r="AA416" s="96">
        <f t="shared" si="239"/>
        <v>59</v>
      </c>
      <c r="AB416" s="97">
        <f t="shared" si="240"/>
        <v>67.896440677966098</v>
      </c>
      <c r="AC416" s="97">
        <f t="shared" si="241"/>
        <v>3937.9935593220334</v>
      </c>
      <c r="AD416" s="98">
        <v>4005.89</v>
      </c>
      <c r="AE416" s="98">
        <v>4028.8</v>
      </c>
      <c r="AF416" s="98">
        <v>4044.4</v>
      </c>
      <c r="AG416" s="98">
        <f t="shared" si="242"/>
        <v>38.510000000000218</v>
      </c>
      <c r="AH416" s="99">
        <v>672.5</v>
      </c>
      <c r="AI416" s="100">
        <f t="shared" si="243"/>
        <v>2719859</v>
      </c>
      <c r="AJ416" s="100">
        <f>(4*AH416)*2</f>
        <v>5380</v>
      </c>
      <c r="AK416" s="100">
        <v>0</v>
      </c>
      <c r="AL416" s="100">
        <v>0</v>
      </c>
      <c r="AM416" s="100">
        <v>0</v>
      </c>
      <c r="AN416" s="100">
        <v>0</v>
      </c>
      <c r="AO416" s="100">
        <v>0</v>
      </c>
      <c r="AP416" s="100">
        <f t="shared" si="226"/>
        <v>136262</v>
      </c>
      <c r="AQ416" s="101">
        <f t="shared" si="244"/>
        <v>2861501</v>
      </c>
      <c r="AR416" s="101">
        <v>0</v>
      </c>
      <c r="AS416" s="101">
        <v>0</v>
      </c>
      <c r="AT416" s="102" t="s">
        <v>33</v>
      </c>
      <c r="AU416" s="109" t="s">
        <v>118</v>
      </c>
      <c r="AV416" s="100">
        <v>0</v>
      </c>
      <c r="AW416" s="105"/>
      <c r="AX416" s="106">
        <f t="shared" si="231"/>
        <v>0.95218079319553495</v>
      </c>
      <c r="AY416" s="101">
        <f t="shared" si="232"/>
        <v>25898</v>
      </c>
      <c r="AZ416" s="107"/>
      <c r="BA416" s="94">
        <v>45485.388888888891</v>
      </c>
      <c r="BB416" s="94">
        <v>45485.40625</v>
      </c>
      <c r="BC416" s="94">
        <v>45485.40625</v>
      </c>
      <c r="BD416" s="94">
        <v>45485.569444444445</v>
      </c>
      <c r="BE416" s="95">
        <f t="shared" si="233"/>
        <v>0.18055555555474712</v>
      </c>
      <c r="BF416" s="95">
        <v>9.7222222222222224E-3</v>
      </c>
      <c r="BG416" s="95">
        <v>2.0833333333333333E-3</v>
      </c>
      <c r="BH416" s="95">
        <f t="shared" si="234"/>
        <v>1.7361111109494232E-2</v>
      </c>
      <c r="BI416" s="95">
        <f t="shared" si="234"/>
        <v>0</v>
      </c>
      <c r="BJ416" s="95">
        <f t="shared" si="234"/>
        <v>0.16319444444525288</v>
      </c>
      <c r="BK416" s="95">
        <f t="shared" si="235"/>
        <v>0.16319444444525288</v>
      </c>
      <c r="BL416" s="95">
        <f t="shared" si="236"/>
        <v>0.15138888888969734</v>
      </c>
      <c r="BM416" s="95" t="str">
        <f t="shared" si="237"/>
        <v>00:00</v>
      </c>
      <c r="BN416" s="110"/>
    </row>
    <row r="417" spans="1:66" s="8" customFormat="1" ht="12.75" customHeight="1" x14ac:dyDescent="0.25">
      <c r="A417" s="150">
        <v>371</v>
      </c>
      <c r="B417" s="150">
        <v>42</v>
      </c>
      <c r="C417" s="90">
        <v>6</v>
      </c>
      <c r="D417" s="90" t="s">
        <v>113</v>
      </c>
      <c r="E417" s="91" t="s">
        <v>483</v>
      </c>
      <c r="F417" s="111" t="s">
        <v>32</v>
      </c>
      <c r="G417" s="111" t="s">
        <v>15</v>
      </c>
      <c r="H417" s="111" t="s">
        <v>146</v>
      </c>
      <c r="I417" s="135" t="s">
        <v>584</v>
      </c>
      <c r="J417" s="151">
        <v>45485</v>
      </c>
      <c r="K417" s="135" t="s">
        <v>117</v>
      </c>
      <c r="L417" s="135">
        <v>261005844</v>
      </c>
      <c r="M417" s="151">
        <v>45486</v>
      </c>
      <c r="N417" s="152">
        <v>45485.701388888891</v>
      </c>
      <c r="O417" s="152">
        <v>45485.701388888891</v>
      </c>
      <c r="P417" s="152">
        <v>45485.708333333336</v>
      </c>
      <c r="Q417" s="152">
        <v>45485.875</v>
      </c>
      <c r="R417" s="152" t="s">
        <v>118</v>
      </c>
      <c r="S417" s="114" t="s">
        <v>118</v>
      </c>
      <c r="T417" s="114">
        <v>45485.916666666664</v>
      </c>
      <c r="U417" s="114">
        <v>45486.086111111108</v>
      </c>
      <c r="V417" s="165">
        <f t="shared" si="229"/>
        <v>0.17361111110949423</v>
      </c>
      <c r="W417" s="165">
        <v>0.20833333333333334</v>
      </c>
      <c r="X417" s="165" t="str">
        <f t="shared" si="230"/>
        <v>00:00</v>
      </c>
      <c r="Y417" s="96">
        <v>1</v>
      </c>
      <c r="Z417" s="96">
        <v>58</v>
      </c>
      <c r="AA417" s="96">
        <f t="shared" si="239"/>
        <v>59</v>
      </c>
      <c r="AB417" s="97">
        <f t="shared" si="240"/>
        <v>66.834576271186435</v>
      </c>
      <c r="AC417" s="97">
        <f t="shared" si="241"/>
        <v>3876.4054237288133</v>
      </c>
      <c r="AD417" s="98">
        <v>3943.24</v>
      </c>
      <c r="AE417" s="98">
        <v>3991.5</v>
      </c>
      <c r="AF417" s="98">
        <v>4004.4</v>
      </c>
      <c r="AG417" s="98">
        <f t="shared" si="242"/>
        <v>61.160000000000309</v>
      </c>
      <c r="AH417" s="99">
        <v>1398.7</v>
      </c>
      <c r="AI417" s="100">
        <f t="shared" si="243"/>
        <v>5600954.2800000003</v>
      </c>
      <c r="AJ417" s="100">
        <f>(1.8*AH417)*2</f>
        <v>5035.3200000000006</v>
      </c>
      <c r="AK417" s="100">
        <v>0</v>
      </c>
      <c r="AL417" s="100">
        <v>0</v>
      </c>
      <c r="AM417" s="100">
        <v>0</v>
      </c>
      <c r="AN417" s="100">
        <v>0</v>
      </c>
      <c r="AO417" s="100">
        <v>0</v>
      </c>
      <c r="AP417" s="100">
        <f t="shared" si="226"/>
        <v>280300</v>
      </c>
      <c r="AQ417" s="101">
        <f t="shared" si="244"/>
        <v>5886290</v>
      </c>
      <c r="AR417" s="101">
        <v>0</v>
      </c>
      <c r="AS417" s="101">
        <v>0</v>
      </c>
      <c r="AT417" s="102" t="s">
        <v>33</v>
      </c>
      <c r="AU417" s="109" t="s">
        <v>118</v>
      </c>
      <c r="AV417" s="100">
        <v>0</v>
      </c>
      <c r="AW417" s="105"/>
      <c r="AX417" s="106">
        <f t="shared" si="231"/>
        <v>1.5273199480571449</v>
      </c>
      <c r="AY417" s="101">
        <f t="shared" si="232"/>
        <v>85545</v>
      </c>
      <c r="AZ417" s="107"/>
      <c r="BA417" s="94">
        <v>45485.701388888891</v>
      </c>
      <c r="BB417" s="94">
        <v>45485.708333333336</v>
      </c>
      <c r="BC417" s="94">
        <v>45485.708333333336</v>
      </c>
      <c r="BD417" s="94">
        <v>45485.915277777778</v>
      </c>
      <c r="BE417" s="95">
        <f t="shared" si="233"/>
        <v>0.21388888888759539</v>
      </c>
      <c r="BF417" s="95">
        <v>2.4305555555555556E-2</v>
      </c>
      <c r="BG417" s="95">
        <v>6.5277777777777782E-2</v>
      </c>
      <c r="BH417" s="95">
        <f t="shared" si="234"/>
        <v>6.9444444452528842E-3</v>
      </c>
      <c r="BI417" s="95">
        <f t="shared" si="234"/>
        <v>0</v>
      </c>
      <c r="BJ417" s="95">
        <f t="shared" si="234"/>
        <v>0.2069444444423425</v>
      </c>
      <c r="BK417" s="95">
        <f t="shared" si="235"/>
        <v>0.2069444444423425</v>
      </c>
      <c r="BL417" s="95">
        <f t="shared" si="236"/>
        <v>0.11736111110900917</v>
      </c>
      <c r="BM417" s="95">
        <f t="shared" si="237"/>
        <v>5.5555555542620427E-3</v>
      </c>
      <c r="BN417" s="110"/>
    </row>
    <row r="418" spans="1:66" s="8" customFormat="1" ht="12.75" customHeight="1" x14ac:dyDescent="0.25">
      <c r="A418" s="150">
        <v>372</v>
      </c>
      <c r="B418" s="150">
        <v>43</v>
      </c>
      <c r="C418" s="90">
        <v>9</v>
      </c>
      <c r="D418" s="90" t="s">
        <v>113</v>
      </c>
      <c r="E418" s="91" t="s">
        <v>551</v>
      </c>
      <c r="F418" s="200" t="s">
        <v>29</v>
      </c>
      <c r="G418" s="200" t="s">
        <v>8</v>
      </c>
      <c r="H418" s="200" t="s">
        <v>124</v>
      </c>
      <c r="I418" s="135" t="s">
        <v>585</v>
      </c>
      <c r="J418" s="151">
        <v>45485</v>
      </c>
      <c r="K418" s="135" t="s">
        <v>122</v>
      </c>
      <c r="L418" s="135">
        <v>461000355</v>
      </c>
      <c r="M418" s="151">
        <v>45486</v>
      </c>
      <c r="N418" s="152">
        <v>45485.899305555555</v>
      </c>
      <c r="O418" s="152">
        <v>45485.899305555555</v>
      </c>
      <c r="P418" s="152">
        <v>45485.902777777781</v>
      </c>
      <c r="Q418" s="152">
        <v>45486.09375</v>
      </c>
      <c r="R418" s="152" t="s">
        <v>118</v>
      </c>
      <c r="S418" s="114" t="s">
        <v>118</v>
      </c>
      <c r="T418" s="114">
        <v>45486.166666666664</v>
      </c>
      <c r="U418" s="114">
        <v>45486.240277777775</v>
      </c>
      <c r="V418" s="165">
        <f t="shared" si="229"/>
        <v>0.19444444444525288</v>
      </c>
      <c r="W418" s="165">
        <v>0.20833333333333334</v>
      </c>
      <c r="X418" s="165" t="str">
        <f t="shared" si="230"/>
        <v>00:00</v>
      </c>
      <c r="Y418" s="96">
        <v>0</v>
      </c>
      <c r="Z418" s="96">
        <v>59</v>
      </c>
      <c r="AA418" s="96">
        <f t="shared" si="239"/>
        <v>59</v>
      </c>
      <c r="AB418" s="97">
        <f t="shared" si="240"/>
        <v>0</v>
      </c>
      <c r="AC418" s="97">
        <f t="shared" si="241"/>
        <v>4053.2400000000002</v>
      </c>
      <c r="AD418" s="98">
        <v>4053.24</v>
      </c>
      <c r="AE418" s="98">
        <v>4043.4</v>
      </c>
      <c r="AF418" s="98">
        <v>4054.8</v>
      </c>
      <c r="AG418" s="98">
        <f t="shared" si="242"/>
        <v>1.5600000000004002</v>
      </c>
      <c r="AH418" s="99">
        <v>797.2</v>
      </c>
      <c r="AI418" s="100">
        <f t="shared" si="243"/>
        <v>3232486.5600000005</v>
      </c>
      <c r="AJ418" s="100">
        <f>(24.6*AH418)*3</f>
        <v>58833.360000000008</v>
      </c>
      <c r="AK418" s="100">
        <v>0</v>
      </c>
      <c r="AL418" s="100">
        <v>0</v>
      </c>
      <c r="AM418" s="100">
        <v>0</v>
      </c>
      <c r="AN418" s="100">
        <v>0</v>
      </c>
      <c r="AO418" s="100">
        <v>0</v>
      </c>
      <c r="AP418" s="100">
        <f t="shared" si="226"/>
        <v>164566</v>
      </c>
      <c r="AQ418" s="101">
        <f t="shared" si="244"/>
        <v>3455886</v>
      </c>
      <c r="AR418" s="101">
        <v>0</v>
      </c>
      <c r="AS418" s="101">
        <v>0</v>
      </c>
      <c r="AT418" s="102" t="s">
        <v>33</v>
      </c>
      <c r="AU418" s="109" t="s">
        <v>118</v>
      </c>
      <c r="AV418" s="100">
        <v>0</v>
      </c>
      <c r="AW418" s="105"/>
      <c r="AX418" s="106">
        <f t="shared" si="231"/>
        <v>3.8472920982549078E-2</v>
      </c>
      <c r="AY418" s="101">
        <f t="shared" si="232"/>
        <v>1244</v>
      </c>
      <c r="AZ418" s="107"/>
      <c r="BA418" s="94">
        <v>45485.899305555555</v>
      </c>
      <c r="BB418" s="94">
        <v>45485.902777777781</v>
      </c>
      <c r="BC418" s="94">
        <v>45485.940972222219</v>
      </c>
      <c r="BD418" s="94">
        <v>45486.084722222222</v>
      </c>
      <c r="BE418" s="95">
        <f t="shared" si="233"/>
        <v>0.18541666666715173</v>
      </c>
      <c r="BF418" s="95">
        <v>1.6666666666666666E-2</v>
      </c>
      <c r="BG418" s="95">
        <v>2.1527777777777778E-2</v>
      </c>
      <c r="BH418" s="95">
        <f t="shared" si="234"/>
        <v>3.4722222262644209E-3</v>
      </c>
      <c r="BI418" s="95">
        <f t="shared" si="234"/>
        <v>3.8194444437976927E-2</v>
      </c>
      <c r="BJ418" s="95">
        <f t="shared" si="234"/>
        <v>0.14375000000291038</v>
      </c>
      <c r="BK418" s="95">
        <f t="shared" si="235"/>
        <v>0.18194444444088731</v>
      </c>
      <c r="BL418" s="95">
        <f t="shared" si="236"/>
        <v>0.14374999999644286</v>
      </c>
      <c r="BM418" s="95" t="str">
        <f t="shared" si="237"/>
        <v>00:00</v>
      </c>
      <c r="BN418" s="110"/>
    </row>
    <row r="419" spans="1:66" s="8" customFormat="1" ht="12.75" customHeight="1" x14ac:dyDescent="0.25">
      <c r="A419" s="150">
        <v>373</v>
      </c>
      <c r="B419" s="150">
        <v>44</v>
      </c>
      <c r="C419" s="90">
        <v>10</v>
      </c>
      <c r="D419" s="90" t="s">
        <v>148</v>
      </c>
      <c r="E419" s="91" t="s">
        <v>560</v>
      </c>
      <c r="F419" s="111" t="s">
        <v>19</v>
      </c>
      <c r="G419" s="111" t="s">
        <v>17</v>
      </c>
      <c r="H419" s="111" t="s">
        <v>150</v>
      </c>
      <c r="I419" s="135" t="s">
        <v>586</v>
      </c>
      <c r="J419" s="151">
        <v>45484</v>
      </c>
      <c r="K419" s="135" t="s">
        <v>117</v>
      </c>
      <c r="L419" s="135">
        <v>441000006</v>
      </c>
      <c r="M419" s="151">
        <v>45486</v>
      </c>
      <c r="N419" s="152">
        <v>45486.173611111109</v>
      </c>
      <c r="O419" s="152">
        <v>45486.15625</v>
      </c>
      <c r="P419" s="152">
        <v>45486.177083333336</v>
      </c>
      <c r="Q419" s="152">
        <v>45486.354166666664</v>
      </c>
      <c r="R419" s="152">
        <v>45486.173611111109</v>
      </c>
      <c r="S419" s="114" t="s">
        <v>118</v>
      </c>
      <c r="T419" s="114">
        <v>45486.427083333336</v>
      </c>
      <c r="U419" s="114">
        <v>45486.491666666669</v>
      </c>
      <c r="V419" s="165">
        <f t="shared" si="229"/>
        <v>0.19791666666424135</v>
      </c>
      <c r="W419" s="165">
        <v>0.20833333333333334</v>
      </c>
      <c r="X419" s="165" t="str">
        <f t="shared" si="230"/>
        <v>00:00</v>
      </c>
      <c r="Y419" s="96">
        <v>9</v>
      </c>
      <c r="Z419" s="96">
        <v>49</v>
      </c>
      <c r="AA419" s="96">
        <f t="shared" si="239"/>
        <v>58</v>
      </c>
      <c r="AB419" s="97">
        <f t="shared" si="240"/>
        <v>618.12310344827586</v>
      </c>
      <c r="AC419" s="97">
        <f t="shared" si="241"/>
        <v>3365.3368965517243</v>
      </c>
      <c r="AD419" s="98">
        <v>3983.46</v>
      </c>
      <c r="AE419" s="98">
        <v>3986</v>
      </c>
      <c r="AF419" s="98">
        <v>4008.4</v>
      </c>
      <c r="AG419" s="98">
        <f t="shared" si="242"/>
        <v>24.940000000000055</v>
      </c>
      <c r="AH419" s="99">
        <v>672.5</v>
      </c>
      <c r="AI419" s="100">
        <f t="shared" si="243"/>
        <v>2695649</v>
      </c>
      <c r="AJ419" s="100">
        <f>(3.8*AH419)*2</f>
        <v>5111</v>
      </c>
      <c r="AK419" s="100">
        <v>0</v>
      </c>
      <c r="AL419" s="100">
        <v>0</v>
      </c>
      <c r="AM419" s="100">
        <v>0</v>
      </c>
      <c r="AN419" s="100">
        <v>0</v>
      </c>
      <c r="AO419" s="100">
        <v>0</v>
      </c>
      <c r="AP419" s="100">
        <f t="shared" si="226"/>
        <v>135038</v>
      </c>
      <c r="AQ419" s="101">
        <f t="shared" si="244"/>
        <v>2835798</v>
      </c>
      <c r="AR419" s="101">
        <v>0</v>
      </c>
      <c r="AS419" s="101">
        <v>0</v>
      </c>
      <c r="AT419" s="102" t="s">
        <v>33</v>
      </c>
      <c r="AU419" s="109" t="s">
        <v>118</v>
      </c>
      <c r="AV419" s="100">
        <v>0</v>
      </c>
      <c r="AW419" s="105"/>
      <c r="AX419" s="106">
        <f t="shared" si="231"/>
        <v>0.62219339387286832</v>
      </c>
      <c r="AY419" s="101">
        <f t="shared" si="232"/>
        <v>16773</v>
      </c>
      <c r="AZ419" s="107"/>
      <c r="BA419" s="94">
        <v>45486.173611111109</v>
      </c>
      <c r="BB419" s="94">
        <v>45486.177083333336</v>
      </c>
      <c r="BC419" s="94">
        <v>45486.177083333336</v>
      </c>
      <c r="BD419" s="94">
        <v>45486.284722222219</v>
      </c>
      <c r="BE419" s="95">
        <f t="shared" si="233"/>
        <v>0.11111111110949423</v>
      </c>
      <c r="BF419" s="95">
        <v>2.0833333333333333E-3</v>
      </c>
      <c r="BG419" s="95">
        <v>0</v>
      </c>
      <c r="BH419" s="95">
        <f t="shared" si="234"/>
        <v>3.4722222262644209E-3</v>
      </c>
      <c r="BI419" s="95">
        <f t="shared" si="234"/>
        <v>0</v>
      </c>
      <c r="BJ419" s="95">
        <f t="shared" si="234"/>
        <v>0.10763888888322981</v>
      </c>
      <c r="BK419" s="95">
        <f t="shared" si="235"/>
        <v>0.10763888888322981</v>
      </c>
      <c r="BL419" s="95">
        <f t="shared" si="236"/>
        <v>0.10555555554989647</v>
      </c>
      <c r="BM419" s="95" t="str">
        <f t="shared" si="237"/>
        <v>00:00</v>
      </c>
      <c r="BN419" s="110"/>
    </row>
    <row r="420" spans="1:66" s="8" customFormat="1" ht="12.75" customHeight="1" x14ac:dyDescent="0.25">
      <c r="A420" s="150">
        <v>374</v>
      </c>
      <c r="B420" s="150">
        <v>45</v>
      </c>
      <c r="C420" s="90">
        <v>11</v>
      </c>
      <c r="D420" s="90" t="s">
        <v>148</v>
      </c>
      <c r="E420" s="91" t="s">
        <v>560</v>
      </c>
      <c r="F420" s="111" t="s">
        <v>19</v>
      </c>
      <c r="G420" s="111" t="s">
        <v>17</v>
      </c>
      <c r="H420" s="111" t="s">
        <v>150</v>
      </c>
      <c r="I420" s="135" t="s">
        <v>587</v>
      </c>
      <c r="J420" s="151">
        <v>45484</v>
      </c>
      <c r="K420" s="135" t="s">
        <v>122</v>
      </c>
      <c r="L420" s="135">
        <v>461000356</v>
      </c>
      <c r="M420" s="151">
        <v>45486</v>
      </c>
      <c r="N420" s="152">
        <v>45486.34375</v>
      </c>
      <c r="O420" s="152">
        <v>45486.34375</v>
      </c>
      <c r="P420" s="152">
        <v>45486.347222222219</v>
      </c>
      <c r="Q420" s="152">
        <v>45486.541666666664</v>
      </c>
      <c r="R420" s="152" t="s">
        <v>118</v>
      </c>
      <c r="S420" s="114" t="s">
        <v>118</v>
      </c>
      <c r="T420" s="114">
        <v>45486.604166666664</v>
      </c>
      <c r="U420" s="114">
        <v>45486.694444444445</v>
      </c>
      <c r="V420" s="165">
        <f t="shared" si="229"/>
        <v>0.19791666666424135</v>
      </c>
      <c r="W420" s="165">
        <v>0.20833333333333334</v>
      </c>
      <c r="X420" s="165" t="str">
        <f t="shared" si="230"/>
        <v>00:00</v>
      </c>
      <c r="Y420" s="96">
        <v>0</v>
      </c>
      <c r="Z420" s="96">
        <v>59</v>
      </c>
      <c r="AA420" s="96">
        <f t="shared" si="239"/>
        <v>59</v>
      </c>
      <c r="AB420" s="97">
        <f t="shared" si="240"/>
        <v>0</v>
      </c>
      <c r="AC420" s="97">
        <f t="shared" si="241"/>
        <v>3968.33</v>
      </c>
      <c r="AD420" s="98">
        <v>3968.33</v>
      </c>
      <c r="AE420" s="98">
        <v>3999.3</v>
      </c>
      <c r="AF420" s="98">
        <v>4007.6</v>
      </c>
      <c r="AG420" s="98">
        <f t="shared" si="242"/>
        <v>39.269999999999982</v>
      </c>
      <c r="AH420" s="99">
        <v>672.5</v>
      </c>
      <c r="AI420" s="100">
        <f t="shared" si="243"/>
        <v>2695111</v>
      </c>
      <c r="AJ420" s="100">
        <f>(0.6*AH420)*2</f>
        <v>807</v>
      </c>
      <c r="AK420" s="100">
        <v>0</v>
      </c>
      <c r="AL420" s="100">
        <v>0</v>
      </c>
      <c r="AM420" s="100">
        <v>0</v>
      </c>
      <c r="AN420" s="100">
        <v>0</v>
      </c>
      <c r="AO420" s="100">
        <v>0</v>
      </c>
      <c r="AP420" s="100">
        <f t="shared" si="226"/>
        <v>134796</v>
      </c>
      <c r="AQ420" s="101">
        <f t="shared" si="244"/>
        <v>2830714</v>
      </c>
      <c r="AR420" s="101">
        <v>0</v>
      </c>
      <c r="AS420" s="101">
        <v>0</v>
      </c>
      <c r="AT420" s="102" t="s">
        <v>33</v>
      </c>
      <c r="AU420" s="109" t="s">
        <v>118</v>
      </c>
      <c r="AV420" s="100">
        <v>0</v>
      </c>
      <c r="AW420" s="105"/>
      <c r="AX420" s="106">
        <f t="shared" si="231"/>
        <v>0.97988821239644641</v>
      </c>
      <c r="AY420" s="101">
        <f t="shared" si="232"/>
        <v>26410</v>
      </c>
      <c r="AZ420" s="107"/>
      <c r="BA420" s="94">
        <v>45486.34375</v>
      </c>
      <c r="BB420" s="94">
        <v>45486.347222222219</v>
      </c>
      <c r="BC420" s="94">
        <v>45486.385416666664</v>
      </c>
      <c r="BD420" s="94">
        <v>45486.506944444445</v>
      </c>
      <c r="BE420" s="95">
        <f t="shared" si="233"/>
        <v>0.16319444444525288</v>
      </c>
      <c r="BF420" s="95">
        <v>3.8194444444444448E-2</v>
      </c>
      <c r="BG420" s="95">
        <v>0</v>
      </c>
      <c r="BH420" s="95">
        <f t="shared" si="234"/>
        <v>3.4722222189884633E-3</v>
      </c>
      <c r="BI420" s="95">
        <f t="shared" si="234"/>
        <v>3.8194444445252884E-2</v>
      </c>
      <c r="BJ420" s="95">
        <f t="shared" si="234"/>
        <v>0.12152777778101154</v>
      </c>
      <c r="BK420" s="95">
        <f t="shared" si="235"/>
        <v>0.15972222222626442</v>
      </c>
      <c r="BL420" s="95">
        <f t="shared" si="236"/>
        <v>0.12152777778181997</v>
      </c>
      <c r="BM420" s="95" t="str">
        <f t="shared" si="237"/>
        <v>00:00</v>
      </c>
      <c r="BN420" s="110"/>
    </row>
    <row r="421" spans="1:66" s="8" customFormat="1" ht="12.75" customHeight="1" x14ac:dyDescent="0.25">
      <c r="A421" s="150">
        <v>375</v>
      </c>
      <c r="B421" s="150">
        <v>46</v>
      </c>
      <c r="C421" s="90">
        <v>12</v>
      </c>
      <c r="D421" s="90" t="s">
        <v>148</v>
      </c>
      <c r="E421" s="91" t="s">
        <v>560</v>
      </c>
      <c r="F421" s="111" t="s">
        <v>19</v>
      </c>
      <c r="G421" s="111" t="s">
        <v>17</v>
      </c>
      <c r="H421" s="111" t="s">
        <v>150</v>
      </c>
      <c r="I421" s="135" t="s">
        <v>588</v>
      </c>
      <c r="J421" s="151">
        <v>45486</v>
      </c>
      <c r="K421" s="135" t="s">
        <v>117</v>
      </c>
      <c r="L421" s="135">
        <v>441000007</v>
      </c>
      <c r="M421" s="151">
        <v>45487</v>
      </c>
      <c r="N421" s="152">
        <v>45486.645833333336</v>
      </c>
      <c r="O421" s="152">
        <v>45486.645833333336</v>
      </c>
      <c r="P421" s="152">
        <v>45486.649305555555</v>
      </c>
      <c r="Q421" s="152">
        <v>45486.833333333336</v>
      </c>
      <c r="R421" s="152" t="s">
        <v>118</v>
      </c>
      <c r="S421" s="114" t="s">
        <v>118</v>
      </c>
      <c r="T421" s="114">
        <v>45487</v>
      </c>
      <c r="U421" s="114">
        <v>45487.067361111112</v>
      </c>
      <c r="V421" s="165">
        <f t="shared" si="229"/>
        <v>0.1875</v>
      </c>
      <c r="W421" s="165">
        <v>0.20833333333333334</v>
      </c>
      <c r="X421" s="165" t="str">
        <f t="shared" si="230"/>
        <v>00:00</v>
      </c>
      <c r="Y421" s="96">
        <v>5</v>
      </c>
      <c r="Z421" s="96">
        <v>53</v>
      </c>
      <c r="AA421" s="96">
        <f t="shared" si="239"/>
        <v>58</v>
      </c>
      <c r="AB421" s="97">
        <f t="shared" si="240"/>
        <v>339.77931034482759</v>
      </c>
      <c r="AC421" s="97">
        <f t="shared" si="241"/>
        <v>3601.6606896551725</v>
      </c>
      <c r="AD421" s="98">
        <v>3941.44</v>
      </c>
      <c r="AE421" s="98">
        <v>3973.2</v>
      </c>
      <c r="AF421" s="98">
        <v>3984.4</v>
      </c>
      <c r="AG421" s="98">
        <f t="shared" si="242"/>
        <v>42.960000000000036</v>
      </c>
      <c r="AH421" s="99">
        <v>672.5</v>
      </c>
      <c r="AI421" s="100">
        <f t="shared" si="243"/>
        <v>2679509</v>
      </c>
      <c r="AJ421" s="100">
        <f>(2.2*AH421)*2</f>
        <v>2959.0000000000005</v>
      </c>
      <c r="AK421" s="100">
        <v>0</v>
      </c>
      <c r="AL421" s="100">
        <v>0</v>
      </c>
      <c r="AM421" s="100">
        <v>0</v>
      </c>
      <c r="AN421" s="100">
        <v>0</v>
      </c>
      <c r="AO421" s="100">
        <v>0</v>
      </c>
      <c r="AP421" s="100">
        <f t="shared" si="226"/>
        <v>134124</v>
      </c>
      <c r="AQ421" s="101">
        <f t="shared" si="244"/>
        <v>2816592</v>
      </c>
      <c r="AR421" s="101">
        <v>0</v>
      </c>
      <c r="AS421" s="101">
        <v>0</v>
      </c>
      <c r="AT421" s="102" t="s">
        <v>33</v>
      </c>
      <c r="AU421" s="109" t="s">
        <v>118</v>
      </c>
      <c r="AV421" s="100">
        <v>0</v>
      </c>
      <c r="AW421" s="105"/>
      <c r="AX421" s="106">
        <f t="shared" si="231"/>
        <v>1.0782049994980434</v>
      </c>
      <c r="AY421" s="101">
        <f t="shared" si="232"/>
        <v>28891</v>
      </c>
      <c r="AZ421" s="107"/>
      <c r="BA421" s="94">
        <v>45486.645833333336</v>
      </c>
      <c r="BB421" s="94">
        <v>45486.649305555555</v>
      </c>
      <c r="BC421" s="94">
        <v>45486.652777777781</v>
      </c>
      <c r="BD421" s="94">
        <v>45486.772222222222</v>
      </c>
      <c r="BE421" s="95">
        <f t="shared" si="233"/>
        <v>0.12638888888614019</v>
      </c>
      <c r="BF421" s="95">
        <v>4.8611111111111112E-3</v>
      </c>
      <c r="BG421" s="95">
        <v>1.3888888888888889E-3</v>
      </c>
      <c r="BH421" s="95">
        <f t="shared" si="234"/>
        <v>3.4722222189884633E-3</v>
      </c>
      <c r="BI421" s="95">
        <f t="shared" si="234"/>
        <v>3.4722222262644209E-3</v>
      </c>
      <c r="BJ421" s="95">
        <f t="shared" si="234"/>
        <v>0.11944444444088731</v>
      </c>
      <c r="BK421" s="95">
        <f t="shared" si="235"/>
        <v>0.12291666666715173</v>
      </c>
      <c r="BL421" s="95">
        <f t="shared" si="236"/>
        <v>0.11666666666715174</v>
      </c>
      <c r="BM421" s="95" t="str">
        <f t="shared" si="237"/>
        <v>00:00</v>
      </c>
      <c r="BN421" s="110"/>
    </row>
    <row r="422" spans="1:66" s="8" customFormat="1" ht="12.75" customHeight="1" x14ac:dyDescent="0.25">
      <c r="A422" s="153">
        <v>376</v>
      </c>
      <c r="B422" s="150">
        <v>47</v>
      </c>
      <c r="C422" s="90">
        <v>13</v>
      </c>
      <c r="D422" s="90" t="s">
        <v>148</v>
      </c>
      <c r="E422" s="112" t="s">
        <v>560</v>
      </c>
      <c r="F422" s="90" t="s">
        <v>19</v>
      </c>
      <c r="G422" s="90" t="s">
        <v>17</v>
      </c>
      <c r="H422" s="90" t="s">
        <v>150</v>
      </c>
      <c r="I422" s="190" t="s">
        <v>589</v>
      </c>
      <c r="J422" s="191">
        <v>45486</v>
      </c>
      <c r="K422" s="190" t="s">
        <v>122</v>
      </c>
      <c r="L422" s="190">
        <v>461000357</v>
      </c>
      <c r="M422" s="191">
        <v>45487</v>
      </c>
      <c r="N422" s="206">
        <v>45487.09375</v>
      </c>
      <c r="O422" s="206">
        <v>45487.09375</v>
      </c>
      <c r="P422" s="206">
        <v>45487.097222222219</v>
      </c>
      <c r="Q422" s="206">
        <v>45487.270833333336</v>
      </c>
      <c r="R422" s="206" t="s">
        <v>118</v>
      </c>
      <c r="S422" s="94" t="s">
        <v>118</v>
      </c>
      <c r="T422" s="94">
        <v>45487.291666666664</v>
      </c>
      <c r="U422" s="94">
        <v>45487.399305555555</v>
      </c>
      <c r="V422" s="95">
        <f t="shared" si="229"/>
        <v>0.17708333333575865</v>
      </c>
      <c r="W422" s="95">
        <v>0.20833333333333334</v>
      </c>
      <c r="X422" s="95" t="str">
        <f t="shared" si="230"/>
        <v>00:00</v>
      </c>
      <c r="Y422" s="92">
        <v>9</v>
      </c>
      <c r="Z422" s="92">
        <v>49</v>
      </c>
      <c r="AA422" s="92">
        <f t="shared" si="239"/>
        <v>58</v>
      </c>
      <c r="AB422" s="207">
        <f t="shared" si="240"/>
        <v>622.59206896551723</v>
      </c>
      <c r="AC422" s="97">
        <f t="shared" si="241"/>
        <v>3389.667931034483</v>
      </c>
      <c r="AD422" s="98">
        <v>4012.26</v>
      </c>
      <c r="AE422" s="98">
        <v>4000.1</v>
      </c>
      <c r="AF422" s="98">
        <v>4016.6</v>
      </c>
      <c r="AG422" s="98">
        <f t="shared" si="242"/>
        <v>4.3399999999996908</v>
      </c>
      <c r="AH422" s="99">
        <v>672.5</v>
      </c>
      <c r="AI422" s="100">
        <f t="shared" si="243"/>
        <v>2701163.5</v>
      </c>
      <c r="AJ422" s="100">
        <f>(12.2*AH422)*3</f>
        <v>24613.5</v>
      </c>
      <c r="AK422" s="100">
        <v>0</v>
      </c>
      <c r="AL422" s="100">
        <v>0</v>
      </c>
      <c r="AM422" s="100">
        <v>0</v>
      </c>
      <c r="AN422" s="100">
        <v>0</v>
      </c>
      <c r="AO422" s="100">
        <v>0</v>
      </c>
      <c r="AP422" s="100">
        <f t="shared" si="226"/>
        <v>136289</v>
      </c>
      <c r="AQ422" s="101">
        <f t="shared" si="244"/>
        <v>2862066</v>
      </c>
      <c r="AR422" s="101">
        <v>0</v>
      </c>
      <c r="AS422" s="101">
        <v>0</v>
      </c>
      <c r="AT422" s="102" t="s">
        <v>33</v>
      </c>
      <c r="AU422" s="109" t="s">
        <v>118</v>
      </c>
      <c r="AV422" s="100">
        <v>0</v>
      </c>
      <c r="AW422" s="105"/>
      <c r="AX422" s="106">
        <f t="shared" si="231"/>
        <v>0.1080515859184308</v>
      </c>
      <c r="AY422" s="101">
        <f t="shared" si="232"/>
        <v>2919</v>
      </c>
      <c r="AZ422" s="107"/>
      <c r="BA422" s="94">
        <v>45487.09375</v>
      </c>
      <c r="BB422" s="94">
        <v>45487.097222222219</v>
      </c>
      <c r="BC422" s="94">
        <v>45487.097222222219</v>
      </c>
      <c r="BD422" s="94">
        <v>45487.20416666667</v>
      </c>
      <c r="BE422" s="95">
        <f t="shared" si="233"/>
        <v>0.11041666667006211</v>
      </c>
      <c r="BF422" s="95">
        <v>0</v>
      </c>
      <c r="BG422" s="95">
        <v>2.0833333333333333E-3</v>
      </c>
      <c r="BH422" s="95">
        <f t="shared" si="234"/>
        <v>3.4722222189884633E-3</v>
      </c>
      <c r="BI422" s="95">
        <f t="shared" si="234"/>
        <v>0</v>
      </c>
      <c r="BJ422" s="95">
        <f t="shared" si="234"/>
        <v>0.10694444445107365</v>
      </c>
      <c r="BK422" s="95">
        <f t="shared" si="235"/>
        <v>0.10694444445107365</v>
      </c>
      <c r="BL422" s="95">
        <f t="shared" si="236"/>
        <v>0.10486111111774031</v>
      </c>
      <c r="BM422" s="95" t="str">
        <f t="shared" si="237"/>
        <v>00:00</v>
      </c>
      <c r="BN422" s="110"/>
    </row>
    <row r="423" spans="1:66" s="8" customFormat="1" ht="12.75" customHeight="1" x14ac:dyDescent="0.25">
      <c r="A423" s="115">
        <v>377</v>
      </c>
      <c r="B423" s="115">
        <v>48</v>
      </c>
      <c r="C423" s="90">
        <v>4</v>
      </c>
      <c r="D423" s="111" t="s">
        <v>113</v>
      </c>
      <c r="E423" s="208" t="s">
        <v>530</v>
      </c>
      <c r="F423" s="115" t="s">
        <v>29</v>
      </c>
      <c r="G423" s="115" t="s">
        <v>15</v>
      </c>
      <c r="H423" s="115" t="s">
        <v>124</v>
      </c>
      <c r="I423" s="116" t="s">
        <v>590</v>
      </c>
      <c r="J423" s="117">
        <v>45486</v>
      </c>
      <c r="K423" s="116" t="s">
        <v>117</v>
      </c>
      <c r="L423" s="115">
        <v>261005847</v>
      </c>
      <c r="M423" s="117">
        <v>45487</v>
      </c>
      <c r="N423" s="118">
        <v>45487.583333333336</v>
      </c>
      <c r="O423" s="118">
        <v>45487.572916666664</v>
      </c>
      <c r="P423" s="118">
        <v>45487.590277777781</v>
      </c>
      <c r="Q423" s="118">
        <v>45487.78125</v>
      </c>
      <c r="R423" s="118">
        <v>45487.583333333336</v>
      </c>
      <c r="S423" s="118" t="s">
        <v>118</v>
      </c>
      <c r="T423" s="118">
        <v>45487.791666666664</v>
      </c>
      <c r="U423" s="118">
        <v>45487.84652777778</v>
      </c>
      <c r="V423" s="119">
        <f t="shared" si="229"/>
        <v>0.20833333333575865</v>
      </c>
      <c r="W423" s="119">
        <v>0.20833333333333334</v>
      </c>
      <c r="X423" s="119">
        <f t="shared" si="230"/>
        <v>2.4253099528692701E-12</v>
      </c>
      <c r="Y423" s="111">
        <v>0</v>
      </c>
      <c r="Z423" s="111">
        <v>57</v>
      </c>
      <c r="AA423" s="96">
        <f t="shared" si="239"/>
        <v>57</v>
      </c>
      <c r="AB423" s="207">
        <f t="shared" si="240"/>
        <v>0</v>
      </c>
      <c r="AC423" s="97">
        <f t="shared" si="241"/>
        <v>3792</v>
      </c>
      <c r="AD423" s="98">
        <f>3887-95</f>
        <v>3792</v>
      </c>
      <c r="AE423" s="98">
        <f>4044.9-95</f>
        <v>3949.9</v>
      </c>
      <c r="AF423" s="98">
        <f>4047.4-95</f>
        <v>3952.4</v>
      </c>
      <c r="AG423" s="98">
        <f t="shared" si="242"/>
        <v>160.40000000000009</v>
      </c>
      <c r="AH423" s="99">
        <v>797.2</v>
      </c>
      <c r="AI423" s="100">
        <f t="shared" si="243"/>
        <v>3150853.2800000003</v>
      </c>
      <c r="AJ423" s="100">
        <f>(0*AH423)*2</f>
        <v>0</v>
      </c>
      <c r="AK423" s="100">
        <v>0</v>
      </c>
      <c r="AL423" s="100">
        <v>0</v>
      </c>
      <c r="AM423" s="100">
        <v>0</v>
      </c>
      <c r="AN423" s="100">
        <v>0</v>
      </c>
      <c r="AO423" s="100">
        <v>0</v>
      </c>
      <c r="AP423" s="100">
        <f t="shared" si="226"/>
        <v>157543</v>
      </c>
      <c r="AQ423" s="101">
        <f t="shared" si="244"/>
        <v>3308397</v>
      </c>
      <c r="AR423" s="101">
        <v>0</v>
      </c>
      <c r="AS423" s="101">
        <v>0</v>
      </c>
      <c r="AT423" s="102" t="s">
        <v>33</v>
      </c>
      <c r="AU423" s="120" t="s">
        <v>118</v>
      </c>
      <c r="AV423" s="121">
        <v>0</v>
      </c>
      <c r="AW423" s="105"/>
      <c r="AX423" s="140">
        <f>IFERROR(((AG423+AG424)/(AF423+AF424))*100, "")</f>
        <v>3.9630379997035154</v>
      </c>
      <c r="AY423" s="141">
        <f>ROUNDUP((AG423+AG424)*AH423,0)</f>
        <v>127871</v>
      </c>
      <c r="AZ423" s="107"/>
      <c r="BA423" s="118">
        <v>45487.583333333336</v>
      </c>
      <c r="BB423" s="118">
        <v>45487.590277777781</v>
      </c>
      <c r="BC423" s="118">
        <v>45487.590277777781</v>
      </c>
      <c r="BD423" s="118">
        <v>45487.767361111109</v>
      </c>
      <c r="BE423" s="119">
        <f t="shared" si="233"/>
        <v>0.18402777777373558</v>
      </c>
      <c r="BF423" s="119">
        <v>4.8611111111111112E-3</v>
      </c>
      <c r="BG423" s="119">
        <v>5.5555555555555552E-2</v>
      </c>
      <c r="BH423" s="119">
        <f t="shared" si="234"/>
        <v>6.9444444452528842E-3</v>
      </c>
      <c r="BI423" s="119">
        <f t="shared" si="234"/>
        <v>0</v>
      </c>
      <c r="BJ423" s="119">
        <f t="shared" si="234"/>
        <v>0.17708333332848269</v>
      </c>
      <c r="BK423" s="119">
        <f t="shared" si="235"/>
        <v>0.17708333332848269</v>
      </c>
      <c r="BL423" s="119">
        <f t="shared" si="236"/>
        <v>0.11666666666181602</v>
      </c>
      <c r="BM423" s="172" t="str">
        <f t="shared" si="237"/>
        <v>00:00</v>
      </c>
      <c r="BN423" s="110" t="s">
        <v>591</v>
      </c>
    </row>
    <row r="424" spans="1:66" s="8" customFormat="1" ht="12.75" customHeight="1" x14ac:dyDescent="0.25">
      <c r="A424" s="122"/>
      <c r="B424" s="122"/>
      <c r="C424" s="90">
        <v>15</v>
      </c>
      <c r="D424" s="209" t="s">
        <v>113</v>
      </c>
      <c r="E424" s="210" t="s">
        <v>188</v>
      </c>
      <c r="F424" s="122"/>
      <c r="G424" s="122"/>
      <c r="H424" s="122"/>
      <c r="I424" s="123"/>
      <c r="J424" s="124"/>
      <c r="K424" s="123"/>
      <c r="L424" s="122"/>
      <c r="M424" s="124"/>
      <c r="N424" s="125"/>
      <c r="O424" s="125"/>
      <c r="P424" s="125"/>
      <c r="Q424" s="125"/>
      <c r="R424" s="125"/>
      <c r="S424" s="125"/>
      <c r="T424" s="125"/>
      <c r="U424" s="125"/>
      <c r="V424" s="126"/>
      <c r="W424" s="126"/>
      <c r="X424" s="126"/>
      <c r="Y424" s="135">
        <v>0</v>
      </c>
      <c r="Z424" s="135">
        <v>2</v>
      </c>
      <c r="AA424" s="96">
        <f t="shared" si="239"/>
        <v>2</v>
      </c>
      <c r="AB424" s="207">
        <f t="shared" si="240"/>
        <v>0</v>
      </c>
      <c r="AC424" s="97">
        <f t="shared" si="241"/>
        <v>95</v>
      </c>
      <c r="AD424" s="98">
        <v>95</v>
      </c>
      <c r="AE424" s="98">
        <v>95</v>
      </c>
      <c r="AF424" s="98">
        <v>95</v>
      </c>
      <c r="AG424" s="98">
        <f t="shared" si="242"/>
        <v>0</v>
      </c>
      <c r="AH424" s="99">
        <v>797.2</v>
      </c>
      <c r="AI424" s="100">
        <f t="shared" si="243"/>
        <v>75734</v>
      </c>
      <c r="AJ424" s="100">
        <f>(0*AH424)*2</f>
        <v>0</v>
      </c>
      <c r="AK424" s="100">
        <v>0</v>
      </c>
      <c r="AL424" s="100">
        <v>0</v>
      </c>
      <c r="AM424" s="100">
        <v>0</v>
      </c>
      <c r="AN424" s="100">
        <v>0</v>
      </c>
      <c r="AO424" s="100">
        <v>0</v>
      </c>
      <c r="AP424" s="100">
        <f t="shared" si="226"/>
        <v>3787</v>
      </c>
      <c r="AQ424" s="101">
        <f t="shared" si="244"/>
        <v>79521</v>
      </c>
      <c r="AR424" s="101">
        <v>0</v>
      </c>
      <c r="AS424" s="101">
        <v>0</v>
      </c>
      <c r="AT424" s="102" t="s">
        <v>33</v>
      </c>
      <c r="AU424" s="127"/>
      <c r="AV424" s="128"/>
      <c r="AW424" s="105"/>
      <c r="AX424" s="144"/>
      <c r="AY424" s="145"/>
      <c r="AZ424" s="107"/>
      <c r="BA424" s="125"/>
      <c r="BB424" s="125"/>
      <c r="BC424" s="125"/>
      <c r="BD424" s="125"/>
      <c r="BE424" s="126"/>
      <c r="BF424" s="126"/>
      <c r="BG424" s="126"/>
      <c r="BH424" s="126"/>
      <c r="BI424" s="126"/>
      <c r="BJ424" s="126"/>
      <c r="BK424" s="126"/>
      <c r="BL424" s="126"/>
      <c r="BM424" s="173"/>
      <c r="BN424" s="110" t="s">
        <v>592</v>
      </c>
    </row>
    <row r="425" spans="1:66" s="8" customFormat="1" ht="12.75" customHeight="1" x14ac:dyDescent="0.25">
      <c r="A425" s="150">
        <v>378</v>
      </c>
      <c r="B425" s="150">
        <v>49</v>
      </c>
      <c r="C425" s="90">
        <v>14</v>
      </c>
      <c r="D425" s="90" t="s">
        <v>148</v>
      </c>
      <c r="E425" s="91" t="s">
        <v>560</v>
      </c>
      <c r="F425" s="111" t="s">
        <v>19</v>
      </c>
      <c r="G425" s="111" t="s">
        <v>17</v>
      </c>
      <c r="H425" s="111" t="s">
        <v>150</v>
      </c>
      <c r="I425" s="135" t="s">
        <v>593</v>
      </c>
      <c r="J425" s="151">
        <v>45486</v>
      </c>
      <c r="K425" s="135" t="s">
        <v>122</v>
      </c>
      <c r="L425" s="135">
        <v>461000358</v>
      </c>
      <c r="M425" s="151">
        <v>45488</v>
      </c>
      <c r="N425" s="152">
        <v>45487.75</v>
      </c>
      <c r="O425" s="152">
        <v>45487.75</v>
      </c>
      <c r="P425" s="152">
        <v>45487.753472222219</v>
      </c>
      <c r="Q425" s="152">
        <v>45487.947916666664</v>
      </c>
      <c r="R425" s="152" t="s">
        <v>118</v>
      </c>
      <c r="S425" s="114" t="s">
        <v>118</v>
      </c>
      <c r="T425" s="114">
        <v>45487.958333333336</v>
      </c>
      <c r="U425" s="114">
        <v>45488.03402777778</v>
      </c>
      <c r="V425" s="165">
        <f>+Q425-O425</f>
        <v>0.19791666666424135</v>
      </c>
      <c r="W425" s="165">
        <v>0.20833333333333334</v>
      </c>
      <c r="X425" s="165" t="str">
        <f>IF(VALUE(V425)&lt;=VALUE("05:00"),"00:00",VALUE(V425)-VALUE("05:00"))</f>
        <v>00:00</v>
      </c>
      <c r="Y425" s="96">
        <v>0</v>
      </c>
      <c r="Z425" s="96">
        <v>58</v>
      </c>
      <c r="AA425" s="96">
        <f t="shared" si="239"/>
        <v>58</v>
      </c>
      <c r="AB425" s="97">
        <f t="shared" si="240"/>
        <v>0</v>
      </c>
      <c r="AC425" s="97">
        <f t="shared" si="241"/>
        <v>3943.65</v>
      </c>
      <c r="AD425" s="98">
        <v>3943.65</v>
      </c>
      <c r="AE425" s="98">
        <v>3960.7</v>
      </c>
      <c r="AF425" s="98">
        <v>3976.2</v>
      </c>
      <c r="AG425" s="98">
        <f t="shared" si="242"/>
        <v>32.549999999999727</v>
      </c>
      <c r="AH425" s="99">
        <v>672.5</v>
      </c>
      <c r="AI425" s="100">
        <f t="shared" si="243"/>
        <v>2673994.5</v>
      </c>
      <c r="AJ425" s="100">
        <f>(1*AH425)*2</f>
        <v>1345</v>
      </c>
      <c r="AK425" s="100">
        <v>0</v>
      </c>
      <c r="AL425" s="100">
        <v>0</v>
      </c>
      <c r="AM425" s="100">
        <v>0</v>
      </c>
      <c r="AN425" s="100">
        <v>0</v>
      </c>
      <c r="AO425" s="100">
        <v>0</v>
      </c>
      <c r="AP425" s="100">
        <f t="shared" si="226"/>
        <v>133767</v>
      </c>
      <c r="AQ425" s="101">
        <f t="shared" si="244"/>
        <v>2809107</v>
      </c>
      <c r="AR425" s="101">
        <v>0</v>
      </c>
      <c r="AS425" s="101">
        <v>0</v>
      </c>
      <c r="AT425" s="102" t="s">
        <v>33</v>
      </c>
      <c r="AU425" s="109" t="s">
        <v>118</v>
      </c>
      <c r="AV425" s="100">
        <v>0</v>
      </c>
      <c r="AW425" s="105"/>
      <c r="AX425" s="106">
        <f>IFERROR((AG425/AF425)*100, "")</f>
        <v>0.81862079372264296</v>
      </c>
      <c r="AY425" s="101">
        <f>ROUNDUP(AG425*AH425,0)</f>
        <v>21890</v>
      </c>
      <c r="AZ425" s="107"/>
      <c r="BA425" s="94">
        <v>45487.75</v>
      </c>
      <c r="BB425" s="94">
        <v>45487.753472222219</v>
      </c>
      <c r="BC425" s="94">
        <v>45487.782638888886</v>
      </c>
      <c r="BD425" s="94">
        <v>45487.920138888891</v>
      </c>
      <c r="BE425" s="95">
        <f>+BD425-BA425</f>
        <v>0.17013888889050577</v>
      </c>
      <c r="BF425" s="95">
        <v>8.3333333333333332E-3</v>
      </c>
      <c r="BG425" s="95">
        <v>2.2222222222222223E-2</v>
      </c>
      <c r="BH425" s="95">
        <f t="shared" ref="BH425:BJ426" si="245">+BB425-BA425</f>
        <v>3.4722222189884633E-3</v>
      </c>
      <c r="BI425" s="95">
        <f t="shared" si="245"/>
        <v>2.9166666667151731E-2</v>
      </c>
      <c r="BJ425" s="95">
        <f t="shared" si="245"/>
        <v>0.13750000000436557</v>
      </c>
      <c r="BK425" s="95">
        <f>+BI425+BJ425</f>
        <v>0.16666666667151731</v>
      </c>
      <c r="BL425" s="95">
        <f>+BE425-BH425-BF425-BG425</f>
        <v>0.13611111111596175</v>
      </c>
      <c r="BM425" s="95" t="str">
        <f>IF(VALUE(BE425)&lt;=VALUE("05:00"),"00:00",VALUE(BE425)-VALUE("05:00"))</f>
        <v>00:00</v>
      </c>
      <c r="BN425" s="110"/>
    </row>
    <row r="426" spans="1:66" s="8" customFormat="1" ht="12.75" customHeight="1" x14ac:dyDescent="0.25">
      <c r="A426" s="115">
        <v>379</v>
      </c>
      <c r="B426" s="115">
        <v>50</v>
      </c>
      <c r="C426" s="90">
        <v>7</v>
      </c>
      <c r="D426" s="90" t="s">
        <v>113</v>
      </c>
      <c r="E426" s="91" t="s">
        <v>483</v>
      </c>
      <c r="F426" s="115" t="s">
        <v>32</v>
      </c>
      <c r="G426" s="115" t="s">
        <v>15</v>
      </c>
      <c r="H426" s="115" t="s">
        <v>146</v>
      </c>
      <c r="I426" s="116" t="s">
        <v>594</v>
      </c>
      <c r="J426" s="117">
        <v>45487</v>
      </c>
      <c r="K426" s="116" t="s">
        <v>117</v>
      </c>
      <c r="L426" s="116">
        <v>261005848</v>
      </c>
      <c r="M426" s="117">
        <v>45488</v>
      </c>
      <c r="N426" s="118">
        <v>45487.875</v>
      </c>
      <c r="O426" s="118">
        <v>45487.875</v>
      </c>
      <c r="P426" s="118">
        <v>45487.878472222219</v>
      </c>
      <c r="Q426" s="118">
        <v>45488.083333333336</v>
      </c>
      <c r="R426" s="118" t="s">
        <v>118</v>
      </c>
      <c r="S426" s="118">
        <v>45488.166666666664</v>
      </c>
      <c r="T426" s="118">
        <v>45488.1875</v>
      </c>
      <c r="U426" s="118">
        <v>45488.340277777781</v>
      </c>
      <c r="V426" s="119">
        <f>+Q426-O426</f>
        <v>0.20833333333575865</v>
      </c>
      <c r="W426" s="119">
        <v>0.20833333333333334</v>
      </c>
      <c r="X426" s="119">
        <f>IF(VALUE(V426)&lt;=VALUE("05:00"),"00:00",VALUE(V426)-VALUE("05:00"))</f>
        <v>2.4253099528692701E-12</v>
      </c>
      <c r="Y426" s="96">
        <v>1</v>
      </c>
      <c r="Z426" s="96">
        <v>30</v>
      </c>
      <c r="AA426" s="96">
        <f t="shared" si="239"/>
        <v>31</v>
      </c>
      <c r="AB426" s="97">
        <f t="shared" si="240"/>
        <v>66.989999999999981</v>
      </c>
      <c r="AC426" s="97">
        <f t="shared" si="241"/>
        <v>2009.6999999999994</v>
      </c>
      <c r="AD426" s="98">
        <f>3964.43-1887.74</f>
        <v>2076.6899999999996</v>
      </c>
      <c r="AE426" s="98">
        <f>4048.5-1925.6</f>
        <v>2122.9</v>
      </c>
      <c r="AF426" s="98">
        <f>4055-1927.7</f>
        <v>2127.3000000000002</v>
      </c>
      <c r="AG426" s="98">
        <f t="shared" si="242"/>
        <v>50.610000000000582</v>
      </c>
      <c r="AH426" s="99">
        <v>1398.7</v>
      </c>
      <c r="AI426" s="100">
        <f t="shared" si="243"/>
        <v>2975454.5100000002</v>
      </c>
      <c r="AJ426" s="100">
        <f>(0*AH426)*2</f>
        <v>0</v>
      </c>
      <c r="AK426" s="100">
        <v>0</v>
      </c>
      <c r="AL426" s="100">
        <v>24290</v>
      </c>
      <c r="AM426" s="100">
        <v>0</v>
      </c>
      <c r="AN426" s="100">
        <v>0</v>
      </c>
      <c r="AO426" s="100">
        <v>0</v>
      </c>
      <c r="AP426" s="100">
        <f>ROUNDUP(SUM(AI426:AO426)*5%,0)-1</f>
        <v>149987</v>
      </c>
      <c r="AQ426" s="101">
        <f t="shared" si="244"/>
        <v>3149732</v>
      </c>
      <c r="AR426" s="101">
        <v>0</v>
      </c>
      <c r="AS426" s="101">
        <v>0</v>
      </c>
      <c r="AT426" s="102" t="s">
        <v>33</v>
      </c>
      <c r="AU426" s="120">
        <v>1</v>
      </c>
      <c r="AV426" s="121">
        <f>10.43-6.43</f>
        <v>4</v>
      </c>
      <c r="AW426" s="105"/>
      <c r="AX426" s="140">
        <f>IFERROR(((AG426+AG427)/(AF426+AF427))*100, "")</f>
        <v>2.23353884093713</v>
      </c>
      <c r="AY426" s="141">
        <f>ROUNDUP((AG426+AG427)*AH426,0)</f>
        <v>126681</v>
      </c>
      <c r="AZ426" s="107"/>
      <c r="BA426" s="118">
        <v>45487.875</v>
      </c>
      <c r="BB426" s="118">
        <v>45487.878472222219</v>
      </c>
      <c r="BC426" s="118">
        <v>45487.947916666664</v>
      </c>
      <c r="BD426" s="118">
        <v>45488.165972222225</v>
      </c>
      <c r="BE426" s="119">
        <f>+BD426-BA426</f>
        <v>0.29097222222480923</v>
      </c>
      <c r="BF426" s="119">
        <v>0</v>
      </c>
      <c r="BG426" s="119">
        <v>0.14583333333333334</v>
      </c>
      <c r="BH426" s="119">
        <f t="shared" si="245"/>
        <v>3.4722222189884633E-3</v>
      </c>
      <c r="BI426" s="119">
        <f t="shared" si="245"/>
        <v>6.9444444445252884E-2</v>
      </c>
      <c r="BJ426" s="119">
        <f t="shared" si="245"/>
        <v>0.21805555556056788</v>
      </c>
      <c r="BK426" s="119">
        <f>+BI426+BJ426</f>
        <v>0.28750000000582077</v>
      </c>
      <c r="BL426" s="119">
        <f>+BE426-BH426-BF426-BG426</f>
        <v>0.14166666667248742</v>
      </c>
      <c r="BM426" s="172">
        <f>IF(VALUE(BE426)&lt;=VALUE("05:00"),"00:00",VALUE(BE426)-VALUE("05:00"))</f>
        <v>8.2638888891475887E-2</v>
      </c>
      <c r="BN426" s="110" t="s">
        <v>595</v>
      </c>
    </row>
    <row r="427" spans="1:66" s="8" customFormat="1" ht="12.75" customHeight="1" x14ac:dyDescent="0.25">
      <c r="A427" s="122"/>
      <c r="B427" s="122"/>
      <c r="C427" s="90">
        <v>1</v>
      </c>
      <c r="D427" s="90" t="s">
        <v>113</v>
      </c>
      <c r="E427" s="91" t="s">
        <v>596</v>
      </c>
      <c r="F427" s="122"/>
      <c r="G427" s="122"/>
      <c r="H427" s="122"/>
      <c r="I427" s="123"/>
      <c r="J427" s="124"/>
      <c r="K427" s="123"/>
      <c r="L427" s="123"/>
      <c r="M427" s="124"/>
      <c r="N427" s="125"/>
      <c r="O427" s="125"/>
      <c r="P427" s="125"/>
      <c r="Q427" s="125"/>
      <c r="R427" s="125"/>
      <c r="S427" s="125"/>
      <c r="T427" s="125"/>
      <c r="U427" s="125"/>
      <c r="V427" s="126"/>
      <c r="W427" s="126"/>
      <c r="X427" s="126"/>
      <c r="Y427" s="96">
        <v>0</v>
      </c>
      <c r="Z427" s="96">
        <v>28</v>
      </c>
      <c r="AA427" s="96">
        <f t="shared" si="239"/>
        <v>28</v>
      </c>
      <c r="AB427" s="97">
        <f t="shared" si="240"/>
        <v>0</v>
      </c>
      <c r="AC427" s="97">
        <f t="shared" si="241"/>
        <v>1887.7400000000002</v>
      </c>
      <c r="AD427" s="98">
        <v>1887.74</v>
      </c>
      <c r="AE427" s="98">
        <v>1925.6</v>
      </c>
      <c r="AF427" s="98">
        <v>1927.7</v>
      </c>
      <c r="AG427" s="98">
        <f t="shared" si="242"/>
        <v>39.960000000000036</v>
      </c>
      <c r="AH427" s="99">
        <v>1398.7</v>
      </c>
      <c r="AI427" s="100">
        <f t="shared" si="243"/>
        <v>2696273.99</v>
      </c>
      <c r="AJ427" s="100">
        <f>(0*AH427)*2</f>
        <v>0</v>
      </c>
      <c r="AK427" s="100">
        <v>0</v>
      </c>
      <c r="AL427" s="100">
        <v>0</v>
      </c>
      <c r="AM427" s="100">
        <v>0</v>
      </c>
      <c r="AN427" s="100">
        <v>0</v>
      </c>
      <c r="AO427" s="100">
        <v>0</v>
      </c>
      <c r="AP427" s="100">
        <f t="shared" ref="AP427:AP455" si="246">ROUNDUP(SUM(AI427:AO427)*5%,0)</f>
        <v>134814</v>
      </c>
      <c r="AQ427" s="101">
        <f t="shared" si="244"/>
        <v>2831088</v>
      </c>
      <c r="AR427" s="101">
        <v>0</v>
      </c>
      <c r="AS427" s="101">
        <v>0</v>
      </c>
      <c r="AT427" s="102" t="s">
        <v>33</v>
      </c>
      <c r="AU427" s="127"/>
      <c r="AV427" s="128"/>
      <c r="AW427" s="105"/>
      <c r="AX427" s="144"/>
      <c r="AY427" s="145"/>
      <c r="AZ427" s="107"/>
      <c r="BA427" s="125"/>
      <c r="BB427" s="125"/>
      <c r="BC427" s="125"/>
      <c r="BD427" s="125"/>
      <c r="BE427" s="126"/>
      <c r="BF427" s="126"/>
      <c r="BG427" s="126"/>
      <c r="BH427" s="126"/>
      <c r="BI427" s="126"/>
      <c r="BJ427" s="126"/>
      <c r="BK427" s="126"/>
      <c r="BL427" s="126"/>
      <c r="BM427" s="173"/>
      <c r="BN427" s="110" t="s">
        <v>597</v>
      </c>
    </row>
    <row r="428" spans="1:66" s="8" customFormat="1" ht="12.75" customHeight="1" x14ac:dyDescent="0.25">
      <c r="A428" s="150">
        <v>380</v>
      </c>
      <c r="B428" s="150">
        <v>51</v>
      </c>
      <c r="C428" s="90">
        <v>15</v>
      </c>
      <c r="D428" s="90" t="s">
        <v>148</v>
      </c>
      <c r="E428" s="91" t="s">
        <v>560</v>
      </c>
      <c r="F428" s="111" t="s">
        <v>19</v>
      </c>
      <c r="G428" s="111" t="s">
        <v>17</v>
      </c>
      <c r="H428" s="111" t="s">
        <v>150</v>
      </c>
      <c r="I428" s="135" t="s">
        <v>598</v>
      </c>
      <c r="J428" s="151">
        <v>45486</v>
      </c>
      <c r="K428" s="135" t="s">
        <v>122</v>
      </c>
      <c r="L428" s="135">
        <v>461000359</v>
      </c>
      <c r="M428" s="151">
        <v>45488</v>
      </c>
      <c r="N428" s="152">
        <v>45488.125</v>
      </c>
      <c r="O428" s="152">
        <v>45488.125</v>
      </c>
      <c r="P428" s="152">
        <v>45488.128472222219</v>
      </c>
      <c r="Q428" s="152">
        <v>45488.333333333336</v>
      </c>
      <c r="R428" s="152" t="s">
        <v>118</v>
      </c>
      <c r="S428" s="114" t="s">
        <v>118</v>
      </c>
      <c r="T428" s="114">
        <v>45488.458333333336</v>
      </c>
      <c r="U428" s="114">
        <v>45488.659722222219</v>
      </c>
      <c r="V428" s="165">
        <f t="shared" ref="V428:V434" si="247">+Q428-O428</f>
        <v>0.20833333333575865</v>
      </c>
      <c r="W428" s="165">
        <v>0.20833333333333334</v>
      </c>
      <c r="X428" s="165">
        <f t="shared" ref="X428:X434" si="248">IF(VALUE(V428)&lt;=VALUE("05:00"),"00:00",VALUE(V428)-VALUE("05:00"))</f>
        <v>2.4253099528692701E-12</v>
      </c>
      <c r="Y428" s="96">
        <v>0</v>
      </c>
      <c r="Z428" s="96">
        <v>53</v>
      </c>
      <c r="AA428" s="96">
        <f t="shared" si="239"/>
        <v>53</v>
      </c>
      <c r="AB428" s="97">
        <f t="shared" si="240"/>
        <v>0</v>
      </c>
      <c r="AC428" s="97">
        <f t="shared" si="241"/>
        <v>3627.5100000000007</v>
      </c>
      <c r="AD428" s="98">
        <v>3627.51</v>
      </c>
      <c r="AE428" s="98">
        <v>3629.2</v>
      </c>
      <c r="AF428" s="98">
        <v>3649.8</v>
      </c>
      <c r="AG428" s="98">
        <f t="shared" si="242"/>
        <v>22.289999999999964</v>
      </c>
      <c r="AH428" s="99">
        <v>672.5</v>
      </c>
      <c r="AI428" s="100">
        <f t="shared" si="243"/>
        <v>2454490.5</v>
      </c>
      <c r="AJ428" s="100">
        <f>(0*AH428)*2</f>
        <v>0</v>
      </c>
      <c r="AK428" s="100">
        <v>0</v>
      </c>
      <c r="AL428" s="100">
        <v>23390</v>
      </c>
      <c r="AM428" s="100">
        <v>0</v>
      </c>
      <c r="AN428" s="100"/>
      <c r="AO428" s="100">
        <v>0</v>
      </c>
      <c r="AP428" s="100">
        <f t="shared" si="246"/>
        <v>123895</v>
      </c>
      <c r="AQ428" s="101">
        <f t="shared" si="244"/>
        <v>2601776</v>
      </c>
      <c r="AR428" s="101">
        <v>0</v>
      </c>
      <c r="AS428" s="101">
        <v>0</v>
      </c>
      <c r="AT428" s="102" t="s">
        <v>33</v>
      </c>
      <c r="AU428" s="109">
        <v>8</v>
      </c>
      <c r="AV428" s="100">
        <f>27.48-20.17</f>
        <v>7.3099999999999987</v>
      </c>
      <c r="AW428" s="105"/>
      <c r="AX428" s="106">
        <f t="shared" ref="AX428:AX433" si="249">IFERROR((AG428/AF428)*100, "")</f>
        <v>0.61071839552852103</v>
      </c>
      <c r="AY428" s="101">
        <f t="shared" ref="AY428:AY433" si="250">ROUNDUP(AG428*AH428,0)</f>
        <v>14991</v>
      </c>
      <c r="AZ428" s="107"/>
      <c r="BA428" s="94">
        <v>45488.125</v>
      </c>
      <c r="BB428" s="94">
        <v>45488.128472222219</v>
      </c>
      <c r="BC428" s="94">
        <v>45488.201388888891</v>
      </c>
      <c r="BD428" s="94">
        <v>45488.337500000001</v>
      </c>
      <c r="BE428" s="95">
        <f t="shared" ref="BE428:BE434" si="251">+BD428-BA428</f>
        <v>0.21250000000145519</v>
      </c>
      <c r="BF428" s="95">
        <v>1.5972222222222221E-2</v>
      </c>
      <c r="BG428" s="95">
        <v>6.5972222222222224E-2</v>
      </c>
      <c r="BH428" s="95">
        <f t="shared" ref="BH428:BJ434" si="252">+BB428-BA428</f>
        <v>3.4722222189884633E-3</v>
      </c>
      <c r="BI428" s="95">
        <f t="shared" si="252"/>
        <v>7.2916666671517305E-2</v>
      </c>
      <c r="BJ428" s="95">
        <f t="shared" si="252"/>
        <v>0.13611111111094942</v>
      </c>
      <c r="BK428" s="95">
        <f t="shared" ref="BK428:BK434" si="253">+BI428+BJ428</f>
        <v>0.20902777778246673</v>
      </c>
      <c r="BL428" s="95">
        <f t="shared" ref="BL428:BL434" si="254">+BE428-BH428-BF428-BG428</f>
        <v>0.1270833333380223</v>
      </c>
      <c r="BM428" s="95">
        <f t="shared" ref="BM428:BM434" si="255">IF(VALUE(BE428)&lt;=VALUE("05:00"),"00:00",VALUE(BE428)-VALUE("05:00"))</f>
        <v>4.1666666681218489E-3</v>
      </c>
      <c r="BN428" s="110"/>
    </row>
    <row r="429" spans="1:66" s="8" customFormat="1" ht="12.75" customHeight="1" x14ac:dyDescent="0.25">
      <c r="A429" s="150">
        <v>381</v>
      </c>
      <c r="B429" s="150">
        <v>52</v>
      </c>
      <c r="C429" s="90">
        <v>5</v>
      </c>
      <c r="D429" s="90" t="s">
        <v>113</v>
      </c>
      <c r="E429" s="91" t="s">
        <v>530</v>
      </c>
      <c r="F429" s="200" t="s">
        <v>29</v>
      </c>
      <c r="G429" s="200" t="s">
        <v>15</v>
      </c>
      <c r="H429" s="200" t="s">
        <v>124</v>
      </c>
      <c r="I429" s="135" t="s">
        <v>599</v>
      </c>
      <c r="J429" s="151">
        <v>45488</v>
      </c>
      <c r="K429" s="135" t="s">
        <v>117</v>
      </c>
      <c r="L429" s="135">
        <v>461000360</v>
      </c>
      <c r="M429" s="151">
        <v>45488</v>
      </c>
      <c r="N429" s="211">
        <v>45488.614583333336</v>
      </c>
      <c r="O429" s="152">
        <v>45488.583333333336</v>
      </c>
      <c r="P429" s="152">
        <v>45488.638888888891</v>
      </c>
      <c r="Q429" s="152">
        <v>45488.791666666664</v>
      </c>
      <c r="R429" s="211">
        <v>45488.614583333336</v>
      </c>
      <c r="S429" s="114">
        <v>45488.895833333336</v>
      </c>
      <c r="T429" s="114">
        <v>45488.916666666664</v>
      </c>
      <c r="U429" s="114">
        <v>45488.993750000001</v>
      </c>
      <c r="V429" s="165">
        <f t="shared" si="247"/>
        <v>0.20833333332848269</v>
      </c>
      <c r="W429" s="165">
        <v>0.20833333333333334</v>
      </c>
      <c r="X429" s="165" t="str">
        <f t="shared" si="248"/>
        <v>00:00</v>
      </c>
      <c r="Y429" s="96">
        <v>1</v>
      </c>
      <c r="Z429" s="96">
        <v>58</v>
      </c>
      <c r="AA429" s="96">
        <f t="shared" si="239"/>
        <v>59</v>
      </c>
      <c r="AB429" s="97">
        <f t="shared" si="240"/>
        <v>67.077288135593221</v>
      </c>
      <c r="AC429" s="97">
        <f t="shared" si="241"/>
        <v>3890.4827118644071</v>
      </c>
      <c r="AD429" s="98">
        <v>3957.56</v>
      </c>
      <c r="AE429" s="98">
        <v>4052</v>
      </c>
      <c r="AF429" s="98">
        <v>4059</v>
      </c>
      <c r="AG429" s="98">
        <f t="shared" si="242"/>
        <v>101.44000000000005</v>
      </c>
      <c r="AH429" s="99">
        <v>797.2</v>
      </c>
      <c r="AI429" s="100">
        <f t="shared" si="243"/>
        <v>3235834.8000000003</v>
      </c>
      <c r="AJ429" s="100">
        <f>(0.8*AH429)*2</f>
        <v>1275.5200000000002</v>
      </c>
      <c r="AK429" s="100">
        <v>0</v>
      </c>
      <c r="AL429" s="100">
        <v>0</v>
      </c>
      <c r="AM429" s="100">
        <v>0</v>
      </c>
      <c r="AN429" s="100">
        <v>0</v>
      </c>
      <c r="AO429" s="100"/>
      <c r="AP429" s="100">
        <f t="shared" si="246"/>
        <v>161856</v>
      </c>
      <c r="AQ429" s="101">
        <f t="shared" si="244"/>
        <v>3398967</v>
      </c>
      <c r="AR429" s="101">
        <v>0</v>
      </c>
      <c r="AS429" s="101">
        <v>0</v>
      </c>
      <c r="AT429" s="102" t="s">
        <v>33</v>
      </c>
      <c r="AU429" s="109" t="s">
        <v>118</v>
      </c>
      <c r="AV429" s="100">
        <v>0</v>
      </c>
      <c r="AW429" s="105"/>
      <c r="AX429" s="106">
        <f t="shared" si="249"/>
        <v>2.4991377186499153</v>
      </c>
      <c r="AY429" s="101">
        <f t="shared" si="250"/>
        <v>80868</v>
      </c>
      <c r="AZ429" s="107"/>
      <c r="BA429" s="94">
        <v>45488.614583333336</v>
      </c>
      <c r="BB429" s="94">
        <v>45488.638888888891</v>
      </c>
      <c r="BC429" s="94">
        <v>45488.654166666667</v>
      </c>
      <c r="BD429" s="94">
        <v>45488.875694444447</v>
      </c>
      <c r="BE429" s="95">
        <f t="shared" si="251"/>
        <v>0.26111111111094942</v>
      </c>
      <c r="BF429" s="95">
        <v>1.5277777777777777E-2</v>
      </c>
      <c r="BG429" s="95">
        <v>0.10486111111111111</v>
      </c>
      <c r="BH429" s="95">
        <f t="shared" si="252"/>
        <v>2.4305555554747116E-2</v>
      </c>
      <c r="BI429" s="95">
        <f t="shared" si="252"/>
        <v>1.5277777776645962E-2</v>
      </c>
      <c r="BJ429" s="95">
        <f t="shared" si="252"/>
        <v>0.22152777777955635</v>
      </c>
      <c r="BK429" s="95">
        <f t="shared" si="253"/>
        <v>0.23680555555620231</v>
      </c>
      <c r="BL429" s="95">
        <f t="shared" si="254"/>
        <v>0.11666666666731342</v>
      </c>
      <c r="BM429" s="95">
        <f t="shared" si="255"/>
        <v>5.2777777777616081E-2</v>
      </c>
      <c r="BN429" s="110"/>
    </row>
    <row r="430" spans="1:66" s="8" customFormat="1" ht="12.75" customHeight="1" x14ac:dyDescent="0.25">
      <c r="A430" s="150">
        <v>382</v>
      </c>
      <c r="B430" s="150">
        <v>53</v>
      </c>
      <c r="C430" s="90">
        <v>16</v>
      </c>
      <c r="D430" s="90" t="s">
        <v>148</v>
      </c>
      <c r="E430" s="91" t="s">
        <v>560</v>
      </c>
      <c r="F430" s="111" t="s">
        <v>19</v>
      </c>
      <c r="G430" s="111" t="s">
        <v>17</v>
      </c>
      <c r="H430" s="111" t="s">
        <v>150</v>
      </c>
      <c r="I430" s="135" t="s">
        <v>600</v>
      </c>
      <c r="J430" s="151">
        <v>45486</v>
      </c>
      <c r="K430" s="135" t="s">
        <v>122</v>
      </c>
      <c r="L430" s="135">
        <v>461000361</v>
      </c>
      <c r="M430" s="151">
        <v>45489</v>
      </c>
      <c r="N430" s="152">
        <v>45488.78125</v>
      </c>
      <c r="O430" s="152">
        <v>45488.78125</v>
      </c>
      <c r="P430" s="152">
        <v>45488.784722222219</v>
      </c>
      <c r="Q430" s="152">
        <v>45488.989583333336</v>
      </c>
      <c r="R430" s="152" t="s">
        <v>118</v>
      </c>
      <c r="S430" s="114">
        <v>45489.072916666664</v>
      </c>
      <c r="T430" s="114">
        <v>45489.145833333336</v>
      </c>
      <c r="U430" s="114">
        <v>45489.232638888891</v>
      </c>
      <c r="V430" s="165">
        <f t="shared" si="247"/>
        <v>0.20833333333575865</v>
      </c>
      <c r="W430" s="165">
        <v>0.20833333333333334</v>
      </c>
      <c r="X430" s="165">
        <f t="shared" si="248"/>
        <v>2.4253099528692701E-12</v>
      </c>
      <c r="Y430" s="96">
        <v>1</v>
      </c>
      <c r="Z430" s="96">
        <v>56</v>
      </c>
      <c r="AA430" s="96">
        <f t="shared" si="239"/>
        <v>57</v>
      </c>
      <c r="AB430" s="97">
        <f t="shared" si="240"/>
        <v>68.857192982456141</v>
      </c>
      <c r="AC430" s="97">
        <f t="shared" si="241"/>
        <v>3856.002807017544</v>
      </c>
      <c r="AD430" s="98">
        <v>3924.86</v>
      </c>
      <c r="AE430" s="98">
        <v>3917</v>
      </c>
      <c r="AF430" s="98">
        <v>3946</v>
      </c>
      <c r="AG430" s="98">
        <f t="shared" si="242"/>
        <v>21.139999999999873</v>
      </c>
      <c r="AH430" s="99">
        <v>672.5</v>
      </c>
      <c r="AI430" s="100">
        <f t="shared" si="243"/>
        <v>2653685</v>
      </c>
      <c r="AJ430" s="100">
        <f>(0*AH430)*2</f>
        <v>0</v>
      </c>
      <c r="AK430" s="100">
        <v>0</v>
      </c>
      <c r="AL430" s="100">
        <v>23990</v>
      </c>
      <c r="AM430" s="100">
        <v>0</v>
      </c>
      <c r="AN430" s="100">
        <v>0</v>
      </c>
      <c r="AO430" s="100">
        <v>0</v>
      </c>
      <c r="AP430" s="100">
        <f t="shared" si="246"/>
        <v>133884</v>
      </c>
      <c r="AQ430" s="101">
        <f t="shared" si="244"/>
        <v>2811559</v>
      </c>
      <c r="AR430" s="101">
        <v>0</v>
      </c>
      <c r="AS430" s="101">
        <v>0</v>
      </c>
      <c r="AT430" s="102" t="s">
        <v>33</v>
      </c>
      <c r="AU430" s="109">
        <v>14</v>
      </c>
      <c r="AV430" s="100">
        <f>47.42-25.42</f>
        <v>22</v>
      </c>
      <c r="AW430" s="105"/>
      <c r="AX430" s="106">
        <f t="shared" si="249"/>
        <v>0.535732387227569</v>
      </c>
      <c r="AY430" s="101">
        <f t="shared" si="250"/>
        <v>14217</v>
      </c>
      <c r="AZ430" s="107"/>
      <c r="BA430" s="94">
        <v>45488.78125</v>
      </c>
      <c r="BB430" s="94">
        <v>45488.784722222219</v>
      </c>
      <c r="BC430" s="94">
        <v>45488.894444444442</v>
      </c>
      <c r="BD430" s="94">
        <v>45489.05972222222</v>
      </c>
      <c r="BE430" s="95">
        <f t="shared" si="251"/>
        <v>0.27847222222044365</v>
      </c>
      <c r="BF430" s="95">
        <v>2.1527777777777778E-2</v>
      </c>
      <c r="BG430" s="95">
        <v>0.11527777777777778</v>
      </c>
      <c r="BH430" s="95">
        <f t="shared" si="252"/>
        <v>3.4722222189884633E-3</v>
      </c>
      <c r="BI430" s="95">
        <f t="shared" si="252"/>
        <v>0.10972222222335404</v>
      </c>
      <c r="BJ430" s="95">
        <f t="shared" si="252"/>
        <v>0.16527777777810115</v>
      </c>
      <c r="BK430" s="95">
        <f t="shared" si="253"/>
        <v>0.27500000000145519</v>
      </c>
      <c r="BL430" s="95">
        <f t="shared" si="254"/>
        <v>0.13819444444589965</v>
      </c>
      <c r="BM430" s="95">
        <f t="shared" si="255"/>
        <v>7.0138888887110312E-2</v>
      </c>
      <c r="BN430" s="110"/>
    </row>
    <row r="431" spans="1:66" s="8" customFormat="1" ht="12.75" customHeight="1" x14ac:dyDescent="0.25">
      <c r="A431" s="150">
        <v>383</v>
      </c>
      <c r="B431" s="150">
        <v>54</v>
      </c>
      <c r="C431" s="90">
        <v>17</v>
      </c>
      <c r="D431" s="90" t="s">
        <v>148</v>
      </c>
      <c r="E431" s="91" t="s">
        <v>560</v>
      </c>
      <c r="F431" s="111" t="s">
        <v>19</v>
      </c>
      <c r="G431" s="111" t="s">
        <v>17</v>
      </c>
      <c r="H431" s="111" t="s">
        <v>150</v>
      </c>
      <c r="I431" s="135" t="s">
        <v>601</v>
      </c>
      <c r="J431" s="151">
        <v>45488</v>
      </c>
      <c r="K431" s="135" t="s">
        <v>117</v>
      </c>
      <c r="L431" s="135">
        <v>461000362</v>
      </c>
      <c r="M431" s="151">
        <v>45489</v>
      </c>
      <c r="N431" s="152">
        <v>45489.1875</v>
      </c>
      <c r="O431" s="152">
        <v>45489.1875</v>
      </c>
      <c r="P431" s="152">
        <v>45489.190972222219</v>
      </c>
      <c r="Q431" s="152">
        <v>45489.375</v>
      </c>
      <c r="R431" s="152" t="s">
        <v>118</v>
      </c>
      <c r="S431" s="114" t="s">
        <v>118</v>
      </c>
      <c r="T431" s="114">
        <v>45489.381944444445</v>
      </c>
      <c r="U431" s="114">
        <v>45489.427083333336</v>
      </c>
      <c r="V431" s="165">
        <f t="shared" si="247"/>
        <v>0.1875</v>
      </c>
      <c r="W431" s="165">
        <v>0.20833333333333334</v>
      </c>
      <c r="X431" s="165" t="str">
        <f t="shared" si="248"/>
        <v>00:00</v>
      </c>
      <c r="Y431" s="96">
        <v>7</v>
      </c>
      <c r="Z431" s="96">
        <v>51</v>
      </c>
      <c r="AA431" s="96">
        <f t="shared" si="239"/>
        <v>58</v>
      </c>
      <c r="AB431" s="97">
        <f t="shared" si="240"/>
        <v>479.53499999999997</v>
      </c>
      <c r="AC431" s="97">
        <f t="shared" si="241"/>
        <v>3493.7549999999997</v>
      </c>
      <c r="AD431" s="98">
        <v>3973.29</v>
      </c>
      <c r="AE431" s="98">
        <v>3988</v>
      </c>
      <c r="AF431" s="98">
        <v>4004</v>
      </c>
      <c r="AG431" s="98">
        <f t="shared" si="242"/>
        <v>30.710000000000036</v>
      </c>
      <c r="AH431" s="99">
        <v>672.5</v>
      </c>
      <c r="AI431" s="100">
        <f t="shared" si="243"/>
        <v>2692690</v>
      </c>
      <c r="AJ431" s="100">
        <f>(4.6*AH431)*2</f>
        <v>6186.9999999999991</v>
      </c>
      <c r="AK431" s="100">
        <v>0</v>
      </c>
      <c r="AL431" s="100">
        <v>0</v>
      </c>
      <c r="AM431" s="100">
        <v>0</v>
      </c>
      <c r="AN431" s="100">
        <v>0</v>
      </c>
      <c r="AO431" s="100">
        <v>0</v>
      </c>
      <c r="AP431" s="100">
        <f t="shared" si="246"/>
        <v>134944</v>
      </c>
      <c r="AQ431" s="101">
        <f t="shared" si="244"/>
        <v>2833821</v>
      </c>
      <c r="AR431" s="101">
        <v>0</v>
      </c>
      <c r="AS431" s="101">
        <v>0</v>
      </c>
      <c r="AT431" s="102" t="s">
        <v>33</v>
      </c>
      <c r="AU431" s="109" t="s">
        <v>118</v>
      </c>
      <c r="AV431" s="100">
        <v>0</v>
      </c>
      <c r="AW431" s="105"/>
      <c r="AX431" s="106">
        <f t="shared" si="249"/>
        <v>0.76698301698301796</v>
      </c>
      <c r="AY431" s="101">
        <f t="shared" si="250"/>
        <v>20653</v>
      </c>
      <c r="AZ431" s="107"/>
      <c r="BA431" s="94">
        <v>45489.1875</v>
      </c>
      <c r="BB431" s="94">
        <v>45489.190972222219</v>
      </c>
      <c r="BC431" s="94">
        <v>45489.190972222219</v>
      </c>
      <c r="BD431" s="94">
        <v>45489.322916666664</v>
      </c>
      <c r="BE431" s="95">
        <f t="shared" si="251"/>
        <v>0.13541666666424135</v>
      </c>
      <c r="BF431" s="95">
        <v>6.9444444444444441E-3</v>
      </c>
      <c r="BG431" s="95">
        <v>1.7361111111111112E-2</v>
      </c>
      <c r="BH431" s="95">
        <f t="shared" si="252"/>
        <v>3.4722222189884633E-3</v>
      </c>
      <c r="BI431" s="95">
        <f t="shared" si="252"/>
        <v>0</v>
      </c>
      <c r="BJ431" s="95">
        <f t="shared" si="252"/>
        <v>0.13194444444525288</v>
      </c>
      <c r="BK431" s="95">
        <f t="shared" si="253"/>
        <v>0.13194444444525288</v>
      </c>
      <c r="BL431" s="95">
        <f t="shared" si="254"/>
        <v>0.10763888888969733</v>
      </c>
      <c r="BM431" s="95" t="str">
        <f t="shared" si="255"/>
        <v>00:00</v>
      </c>
      <c r="BN431" s="110"/>
    </row>
    <row r="432" spans="1:66" s="8" customFormat="1" ht="12.75" customHeight="1" x14ac:dyDescent="0.25">
      <c r="A432" s="150">
        <v>384</v>
      </c>
      <c r="B432" s="150">
        <v>55</v>
      </c>
      <c r="C432" s="90">
        <v>6</v>
      </c>
      <c r="D432" s="90" t="s">
        <v>113</v>
      </c>
      <c r="E432" s="91" t="s">
        <v>530</v>
      </c>
      <c r="F432" s="200" t="s">
        <v>29</v>
      </c>
      <c r="G432" s="200" t="s">
        <v>15</v>
      </c>
      <c r="H432" s="200" t="s">
        <v>124</v>
      </c>
      <c r="I432" s="135" t="s">
        <v>602</v>
      </c>
      <c r="J432" s="151">
        <v>45489</v>
      </c>
      <c r="K432" s="135" t="s">
        <v>117</v>
      </c>
      <c r="L432" s="135">
        <v>261005851</v>
      </c>
      <c r="M432" s="151">
        <v>45489</v>
      </c>
      <c r="N432" s="152">
        <v>45489.618055555555</v>
      </c>
      <c r="O432" s="152">
        <v>45489.583333333336</v>
      </c>
      <c r="P432" s="152">
        <v>45489.625</v>
      </c>
      <c r="Q432" s="152">
        <v>45489.791666666664</v>
      </c>
      <c r="R432" s="152">
        <v>45489.618055555555</v>
      </c>
      <c r="S432" s="114">
        <v>45489.854166666664</v>
      </c>
      <c r="T432" s="114">
        <v>45489.868055555555</v>
      </c>
      <c r="U432" s="114">
        <v>45489.956250000003</v>
      </c>
      <c r="V432" s="165">
        <f t="shared" si="247"/>
        <v>0.20833333332848269</v>
      </c>
      <c r="W432" s="165">
        <v>0.20833333333333334</v>
      </c>
      <c r="X432" s="165" t="str">
        <f t="shared" si="248"/>
        <v>00:00</v>
      </c>
      <c r="Y432" s="96">
        <v>1</v>
      </c>
      <c r="Z432" s="96">
        <v>57</v>
      </c>
      <c r="AA432" s="96">
        <f t="shared" si="239"/>
        <v>58</v>
      </c>
      <c r="AB432" s="97">
        <f t="shared" si="240"/>
        <v>66.386896551724135</v>
      </c>
      <c r="AC432" s="97">
        <f t="shared" si="241"/>
        <v>3784.0531034482756</v>
      </c>
      <c r="AD432" s="98">
        <v>3850.44</v>
      </c>
      <c r="AE432" s="98">
        <v>3973.2</v>
      </c>
      <c r="AF432" s="98">
        <v>3974.4</v>
      </c>
      <c r="AG432" s="98">
        <f t="shared" si="242"/>
        <v>123.96000000000004</v>
      </c>
      <c r="AH432" s="99">
        <v>797.2</v>
      </c>
      <c r="AI432" s="100">
        <f t="shared" si="243"/>
        <v>3168391.68</v>
      </c>
      <c r="AJ432" s="100">
        <f>(0*AH432)*2</f>
        <v>0</v>
      </c>
      <c r="AK432" s="100">
        <v>0</v>
      </c>
      <c r="AL432" s="100">
        <v>0</v>
      </c>
      <c r="AM432" s="100">
        <v>0</v>
      </c>
      <c r="AN432" s="100">
        <v>0</v>
      </c>
      <c r="AO432" s="100">
        <v>0</v>
      </c>
      <c r="AP432" s="100">
        <f t="shared" si="246"/>
        <v>158420</v>
      </c>
      <c r="AQ432" s="101">
        <f t="shared" si="244"/>
        <v>3326812</v>
      </c>
      <c r="AR432" s="101">
        <v>0</v>
      </c>
      <c r="AS432" s="101">
        <v>0</v>
      </c>
      <c r="AT432" s="102" t="s">
        <v>33</v>
      </c>
      <c r="AU432" s="109" t="s">
        <v>118</v>
      </c>
      <c r="AV432" s="100">
        <v>0</v>
      </c>
      <c r="AW432" s="105"/>
      <c r="AX432" s="106">
        <f t="shared" si="249"/>
        <v>3.1189613526570055</v>
      </c>
      <c r="AY432" s="101">
        <f t="shared" si="250"/>
        <v>98821</v>
      </c>
      <c r="AZ432" s="107"/>
      <c r="BA432" s="94">
        <v>45489.618055555555</v>
      </c>
      <c r="BB432" s="94">
        <v>45489.625</v>
      </c>
      <c r="BC432" s="94">
        <v>45489.635416666664</v>
      </c>
      <c r="BD432" s="94">
        <v>45489.84097222222</v>
      </c>
      <c r="BE432" s="95">
        <f t="shared" si="251"/>
        <v>0.22291666666569654</v>
      </c>
      <c r="BF432" s="95">
        <v>4.2361111111111113E-2</v>
      </c>
      <c r="BG432" s="95">
        <v>5.5555555555555552E-2</v>
      </c>
      <c r="BH432" s="95">
        <f t="shared" si="252"/>
        <v>6.9444444452528842E-3</v>
      </c>
      <c r="BI432" s="95">
        <f t="shared" si="252"/>
        <v>1.0416666664241347E-2</v>
      </c>
      <c r="BJ432" s="95">
        <f t="shared" si="252"/>
        <v>0.20555555555620231</v>
      </c>
      <c r="BK432" s="95">
        <f t="shared" si="253"/>
        <v>0.21597222222044365</v>
      </c>
      <c r="BL432" s="95">
        <f t="shared" si="254"/>
        <v>0.11805555555377698</v>
      </c>
      <c r="BM432" s="95">
        <f t="shared" si="255"/>
        <v>1.4583333332363196E-2</v>
      </c>
      <c r="BN432" s="110"/>
    </row>
    <row r="433" spans="1:66" s="8" customFormat="1" ht="12.75" customHeight="1" x14ac:dyDescent="0.25">
      <c r="A433" s="153">
        <v>385</v>
      </c>
      <c r="B433" s="150">
        <v>56</v>
      </c>
      <c r="C433" s="90">
        <v>18</v>
      </c>
      <c r="D433" s="90" t="s">
        <v>148</v>
      </c>
      <c r="E433" s="112" t="s">
        <v>560</v>
      </c>
      <c r="F433" s="90" t="s">
        <v>19</v>
      </c>
      <c r="G433" s="90" t="s">
        <v>17</v>
      </c>
      <c r="H433" s="90" t="s">
        <v>150</v>
      </c>
      <c r="I433" s="190" t="s">
        <v>603</v>
      </c>
      <c r="J433" s="191">
        <v>45488</v>
      </c>
      <c r="K433" s="190" t="s">
        <v>122</v>
      </c>
      <c r="L433" s="190">
        <v>461000363</v>
      </c>
      <c r="M433" s="191">
        <v>45490</v>
      </c>
      <c r="N433" s="206">
        <v>45489.791666666664</v>
      </c>
      <c r="O433" s="206">
        <v>45489.791666666664</v>
      </c>
      <c r="P433" s="206">
        <v>45489.795138888891</v>
      </c>
      <c r="Q433" s="206">
        <v>45489.993055555555</v>
      </c>
      <c r="R433" s="206" t="s">
        <v>118</v>
      </c>
      <c r="S433" s="114" t="s">
        <v>604</v>
      </c>
      <c r="T433" s="114">
        <v>45490.072916666664</v>
      </c>
      <c r="U433" s="114">
        <v>45490.132638888892</v>
      </c>
      <c r="V433" s="165">
        <f t="shared" si="247"/>
        <v>0.20138888889050577</v>
      </c>
      <c r="W433" s="165">
        <v>0.20833333333333334</v>
      </c>
      <c r="X433" s="165" t="str">
        <f t="shared" si="248"/>
        <v>00:00</v>
      </c>
      <c r="Y433" s="96">
        <v>0</v>
      </c>
      <c r="Z433" s="96">
        <v>59</v>
      </c>
      <c r="AA433" s="96">
        <f t="shared" si="239"/>
        <v>59</v>
      </c>
      <c r="AB433" s="97">
        <f t="shared" si="240"/>
        <v>0</v>
      </c>
      <c r="AC433" s="97">
        <f t="shared" si="241"/>
        <v>3881.13</v>
      </c>
      <c r="AD433" s="98">
        <v>3881.13</v>
      </c>
      <c r="AE433" s="98">
        <v>3999.3</v>
      </c>
      <c r="AF433" s="98">
        <v>4000.8</v>
      </c>
      <c r="AG433" s="98">
        <f t="shared" si="242"/>
        <v>119.67000000000007</v>
      </c>
      <c r="AH433" s="99">
        <v>672.5</v>
      </c>
      <c r="AI433" s="100">
        <f t="shared" si="243"/>
        <v>2690538</v>
      </c>
      <c r="AJ433" s="100">
        <f>(0*AH433)*2</f>
        <v>0</v>
      </c>
      <c r="AK433" s="100">
        <v>0</v>
      </c>
      <c r="AL433" s="100">
        <v>0</v>
      </c>
      <c r="AM433" s="100">
        <v>0</v>
      </c>
      <c r="AN433" s="100">
        <v>0</v>
      </c>
      <c r="AO433" s="100">
        <v>0</v>
      </c>
      <c r="AP433" s="100">
        <f t="shared" si="246"/>
        <v>134527</v>
      </c>
      <c r="AQ433" s="101">
        <f t="shared" si="244"/>
        <v>2825065</v>
      </c>
      <c r="AR433" s="101">
        <v>0</v>
      </c>
      <c r="AS433" s="101">
        <v>0</v>
      </c>
      <c r="AT433" s="102" t="s">
        <v>33</v>
      </c>
      <c r="AU433" s="109" t="s">
        <v>118</v>
      </c>
      <c r="AV433" s="100">
        <v>0</v>
      </c>
      <c r="AW433" s="105"/>
      <c r="AX433" s="106">
        <f t="shared" si="249"/>
        <v>2.9911517696460725</v>
      </c>
      <c r="AY433" s="101">
        <f t="shared" si="250"/>
        <v>80479</v>
      </c>
      <c r="AZ433" s="107"/>
      <c r="BA433" s="94">
        <v>45489.791666666664</v>
      </c>
      <c r="BB433" s="94">
        <v>45489.795138888891</v>
      </c>
      <c r="BC433" s="94">
        <v>45489.875</v>
      </c>
      <c r="BD433" s="94">
        <v>45490.0625</v>
      </c>
      <c r="BE433" s="95">
        <f t="shared" si="251"/>
        <v>0.27083333333575865</v>
      </c>
      <c r="BF433" s="95">
        <v>3.2638888888888891E-2</v>
      </c>
      <c r="BG433" s="95">
        <v>7.8472222222222221E-2</v>
      </c>
      <c r="BH433" s="95">
        <f t="shared" si="252"/>
        <v>3.4722222262644209E-3</v>
      </c>
      <c r="BI433" s="95">
        <f t="shared" si="252"/>
        <v>7.9861111109494232E-2</v>
      </c>
      <c r="BJ433" s="95">
        <f t="shared" si="252"/>
        <v>0.1875</v>
      </c>
      <c r="BK433" s="95">
        <f t="shared" si="253"/>
        <v>0.26736111110949423</v>
      </c>
      <c r="BL433" s="95">
        <f t="shared" si="254"/>
        <v>0.15624999999838313</v>
      </c>
      <c r="BM433" s="95">
        <f t="shared" si="255"/>
        <v>6.250000000242531E-2</v>
      </c>
      <c r="BN433" s="110"/>
    </row>
    <row r="434" spans="1:66" s="8" customFormat="1" ht="12.75" customHeight="1" x14ac:dyDescent="0.25">
      <c r="A434" s="115">
        <v>386</v>
      </c>
      <c r="B434" s="115">
        <v>57</v>
      </c>
      <c r="C434" s="90">
        <v>15</v>
      </c>
      <c r="D434" s="111" t="s">
        <v>148</v>
      </c>
      <c r="E434" s="208" t="s">
        <v>544</v>
      </c>
      <c r="F434" s="115" t="s">
        <v>16</v>
      </c>
      <c r="G434" s="115" t="s">
        <v>17</v>
      </c>
      <c r="H434" s="115" t="s">
        <v>150</v>
      </c>
      <c r="I434" s="116" t="s">
        <v>605</v>
      </c>
      <c r="J434" s="212">
        <v>45488</v>
      </c>
      <c r="K434" s="116" t="s">
        <v>117</v>
      </c>
      <c r="L434" s="115">
        <v>441000008</v>
      </c>
      <c r="M434" s="212">
        <v>45490</v>
      </c>
      <c r="N434" s="118">
        <v>45489.989583333336</v>
      </c>
      <c r="O434" s="118">
        <v>45489.989583333336</v>
      </c>
      <c r="P434" s="118">
        <v>45490.993055555555</v>
      </c>
      <c r="Q434" s="213">
        <v>45490.197916666664</v>
      </c>
      <c r="R434" s="115" t="s">
        <v>118</v>
      </c>
      <c r="S434" s="118">
        <v>45490.354166666664</v>
      </c>
      <c r="T434" s="118">
        <v>45490.364583333336</v>
      </c>
      <c r="U434" s="118">
        <v>45490.432638888888</v>
      </c>
      <c r="V434" s="119">
        <f t="shared" si="247"/>
        <v>0.20833333332848269</v>
      </c>
      <c r="W434" s="119">
        <v>0.20833333333333334</v>
      </c>
      <c r="X434" s="119" t="str">
        <f t="shared" si="248"/>
        <v>00:00</v>
      </c>
      <c r="Y434" s="96">
        <v>1</v>
      </c>
      <c r="Z434" s="96">
        <v>37</v>
      </c>
      <c r="AA434" s="96">
        <f t="shared" si="239"/>
        <v>38</v>
      </c>
      <c r="AB434" s="97">
        <f t="shared" si="240"/>
        <v>66.167894736842115</v>
      </c>
      <c r="AC434" s="97">
        <f t="shared" si="241"/>
        <v>2448.2121052631583</v>
      </c>
      <c r="AD434" s="98">
        <f>4004.77-1490.39</f>
        <v>2514.38</v>
      </c>
      <c r="AE434" s="98">
        <f>4047.2-1443</f>
        <v>2604.1999999999998</v>
      </c>
      <c r="AF434" s="98">
        <f>4056.8-1448.93</f>
        <v>2607.87</v>
      </c>
      <c r="AG434" s="98">
        <f t="shared" si="242"/>
        <v>93.489999999999782</v>
      </c>
      <c r="AH434" s="99">
        <v>672.5</v>
      </c>
      <c r="AI434" s="100">
        <f t="shared" si="243"/>
        <v>1753792.575</v>
      </c>
      <c r="AJ434" s="100">
        <f>(1.4*AH434)*2</f>
        <v>1882.9999999999998</v>
      </c>
      <c r="AK434" s="100">
        <v>0</v>
      </c>
      <c r="AL434" s="100">
        <v>0</v>
      </c>
      <c r="AM434" s="100">
        <v>0</v>
      </c>
      <c r="AN434" s="100">
        <v>0</v>
      </c>
      <c r="AO434" s="100">
        <v>0</v>
      </c>
      <c r="AP434" s="100">
        <f t="shared" si="246"/>
        <v>87784</v>
      </c>
      <c r="AQ434" s="101">
        <f>ROUNDUP(SUM(AI434:AP434),0)-1</f>
        <v>1843459</v>
      </c>
      <c r="AR434" s="101">
        <v>0</v>
      </c>
      <c r="AS434" s="101">
        <v>0</v>
      </c>
      <c r="AT434" s="102" t="s">
        <v>33</v>
      </c>
      <c r="AU434" s="120" t="s">
        <v>118</v>
      </c>
      <c r="AV434" s="121">
        <v>0</v>
      </c>
      <c r="AW434" s="105"/>
      <c r="AX434" s="140">
        <f>IFERROR(((AG434+AG435)/(AF434+AF435))*100, "")</f>
        <v>1.2825379609544405</v>
      </c>
      <c r="AY434" s="141">
        <f>ROUNDUP((AG434+AG435)*AH434,0)</f>
        <v>34991</v>
      </c>
      <c r="AZ434" s="107"/>
      <c r="BA434" s="118">
        <v>45489.989583333336</v>
      </c>
      <c r="BB434" s="118">
        <v>45489.993055555555</v>
      </c>
      <c r="BC434" s="118">
        <v>45490.095833333333</v>
      </c>
      <c r="BD434" s="118">
        <v>45490.35</v>
      </c>
      <c r="BE434" s="119">
        <f t="shared" si="251"/>
        <v>0.36041666666278616</v>
      </c>
      <c r="BF434" s="119">
        <v>0.1125</v>
      </c>
      <c r="BG434" s="119">
        <v>8.6805555555555552E-2</v>
      </c>
      <c r="BH434" s="119">
        <f t="shared" si="252"/>
        <v>3.4722222189884633E-3</v>
      </c>
      <c r="BI434" s="119">
        <f t="shared" si="252"/>
        <v>0.10277777777810115</v>
      </c>
      <c r="BJ434" s="119">
        <f t="shared" si="252"/>
        <v>0.25416666666569654</v>
      </c>
      <c r="BK434" s="119">
        <f t="shared" si="253"/>
        <v>0.35694444444379769</v>
      </c>
      <c r="BL434" s="119">
        <f t="shared" si="254"/>
        <v>0.15763888888824215</v>
      </c>
      <c r="BM434" s="172">
        <f t="shared" si="255"/>
        <v>0.15208333332945281</v>
      </c>
      <c r="BN434" s="110" t="s">
        <v>606</v>
      </c>
    </row>
    <row r="435" spans="1:66" s="8" customFormat="1" ht="12.75" customHeight="1" x14ac:dyDescent="0.25">
      <c r="A435" s="122"/>
      <c r="B435" s="122"/>
      <c r="C435" s="209">
        <v>1</v>
      </c>
      <c r="D435" s="111" t="s">
        <v>148</v>
      </c>
      <c r="E435" s="210" t="s">
        <v>607</v>
      </c>
      <c r="F435" s="122"/>
      <c r="G435" s="122"/>
      <c r="H435" s="122"/>
      <c r="I435" s="123"/>
      <c r="J435" s="122"/>
      <c r="K435" s="123"/>
      <c r="L435" s="122"/>
      <c r="M435" s="122"/>
      <c r="N435" s="125"/>
      <c r="O435" s="125"/>
      <c r="P435" s="125"/>
      <c r="Q435" s="122"/>
      <c r="R435" s="122"/>
      <c r="S435" s="125"/>
      <c r="T435" s="125"/>
      <c r="U435" s="125"/>
      <c r="V435" s="126"/>
      <c r="W435" s="126"/>
      <c r="X435" s="126"/>
      <c r="Y435" s="96">
        <v>0</v>
      </c>
      <c r="Z435" s="96">
        <v>21</v>
      </c>
      <c r="AA435" s="96">
        <f t="shared" si="239"/>
        <v>21</v>
      </c>
      <c r="AB435" s="97">
        <f t="shared" si="240"/>
        <v>0</v>
      </c>
      <c r="AC435" s="97">
        <f t="shared" si="241"/>
        <v>1490.39</v>
      </c>
      <c r="AD435" s="98">
        <v>1490.39</v>
      </c>
      <c r="AE435" s="98">
        <v>1443</v>
      </c>
      <c r="AF435" s="98">
        <v>1448.93</v>
      </c>
      <c r="AG435" s="98">
        <f t="shared" si="242"/>
        <v>-41.460000000000036</v>
      </c>
      <c r="AH435" s="99">
        <v>672.5</v>
      </c>
      <c r="AI435" s="100">
        <f t="shared" si="243"/>
        <v>974405.42500000005</v>
      </c>
      <c r="AJ435" s="100">
        <f>(0*AH435)*2</f>
        <v>0</v>
      </c>
      <c r="AK435" s="100">
        <v>0</v>
      </c>
      <c r="AL435" s="100">
        <v>0</v>
      </c>
      <c r="AM435" s="100">
        <v>0</v>
      </c>
      <c r="AN435" s="100">
        <v>0</v>
      </c>
      <c r="AO435" s="100">
        <v>0</v>
      </c>
      <c r="AP435" s="100">
        <f t="shared" si="246"/>
        <v>48721</v>
      </c>
      <c r="AQ435" s="101">
        <f t="shared" ref="AQ435:AQ455" si="256">ROUNDUP(SUM(AI435:AP435),0)</f>
        <v>1023127</v>
      </c>
      <c r="AR435" s="101">
        <v>0</v>
      </c>
      <c r="AS435" s="101">
        <v>0</v>
      </c>
      <c r="AT435" s="102" t="s">
        <v>33</v>
      </c>
      <c r="AU435" s="127"/>
      <c r="AV435" s="128"/>
      <c r="AW435" s="105"/>
      <c r="AX435" s="144"/>
      <c r="AY435" s="145"/>
      <c r="AZ435" s="107"/>
      <c r="BA435" s="125"/>
      <c r="BB435" s="125"/>
      <c r="BC435" s="125"/>
      <c r="BD435" s="125"/>
      <c r="BE435" s="126"/>
      <c r="BF435" s="126"/>
      <c r="BG435" s="126"/>
      <c r="BH435" s="126"/>
      <c r="BI435" s="126"/>
      <c r="BJ435" s="126"/>
      <c r="BK435" s="126"/>
      <c r="BL435" s="126"/>
      <c r="BM435" s="173"/>
      <c r="BN435" s="110" t="s">
        <v>608</v>
      </c>
    </row>
    <row r="436" spans="1:66" s="8" customFormat="1" ht="12.75" customHeight="1" x14ac:dyDescent="0.25">
      <c r="A436" s="150">
        <v>387</v>
      </c>
      <c r="B436" s="150">
        <v>58</v>
      </c>
      <c r="C436" s="90">
        <v>2</v>
      </c>
      <c r="D436" s="111" t="s">
        <v>148</v>
      </c>
      <c r="E436" s="210" t="s">
        <v>607</v>
      </c>
      <c r="F436" s="111" t="s">
        <v>16</v>
      </c>
      <c r="G436" s="111" t="s">
        <v>17</v>
      </c>
      <c r="H436" s="111" t="s">
        <v>150</v>
      </c>
      <c r="I436" s="135" t="s">
        <v>609</v>
      </c>
      <c r="J436" s="151">
        <v>45488</v>
      </c>
      <c r="K436" s="135" t="s">
        <v>122</v>
      </c>
      <c r="L436" s="135">
        <v>441000009</v>
      </c>
      <c r="M436" s="151">
        <v>45490</v>
      </c>
      <c r="N436" s="152">
        <v>45490.208333333336</v>
      </c>
      <c r="O436" s="152">
        <v>45490.208333333336</v>
      </c>
      <c r="P436" s="152">
        <v>45490.211805555555</v>
      </c>
      <c r="Q436" s="152">
        <v>45490.416666666664</v>
      </c>
      <c r="R436" s="152" t="s">
        <v>118</v>
      </c>
      <c r="S436" s="114">
        <v>45490.583333333336</v>
      </c>
      <c r="T436" s="114">
        <v>45490.59375</v>
      </c>
      <c r="U436" s="114">
        <v>45490.640972222223</v>
      </c>
      <c r="V436" s="165">
        <f t="shared" ref="V436:V455" si="257">+Q436-O436</f>
        <v>0.20833333332848269</v>
      </c>
      <c r="W436" s="165">
        <v>0.20833333333333334</v>
      </c>
      <c r="X436" s="165" t="str">
        <f t="shared" ref="X436:X455" si="258">IF(VALUE(V436)&lt;=VALUE("05:00"),"00:00",VALUE(V436)-VALUE("05:00"))</f>
        <v>00:00</v>
      </c>
      <c r="Y436" s="96">
        <v>1</v>
      </c>
      <c r="Z436" s="96">
        <v>58</v>
      </c>
      <c r="AA436" s="96">
        <f t="shared" si="239"/>
        <v>59</v>
      </c>
      <c r="AB436" s="97">
        <f t="shared" si="240"/>
        <v>68.331186440677968</v>
      </c>
      <c r="AC436" s="97">
        <f t="shared" si="241"/>
        <v>3963.2088135593222</v>
      </c>
      <c r="AD436" s="98">
        <v>4031.54</v>
      </c>
      <c r="AE436" s="98">
        <v>4047</v>
      </c>
      <c r="AF436" s="98">
        <v>4063.8</v>
      </c>
      <c r="AG436" s="98">
        <f t="shared" si="242"/>
        <v>32.260000000000218</v>
      </c>
      <c r="AH436" s="99">
        <v>672.5</v>
      </c>
      <c r="AI436" s="100">
        <f t="shared" si="243"/>
        <v>2732905.5</v>
      </c>
      <c r="AJ436" s="100">
        <f>(2.4*AH436)*2</f>
        <v>3228</v>
      </c>
      <c r="AK436" s="100">
        <v>0</v>
      </c>
      <c r="AL436" s="100">
        <v>0</v>
      </c>
      <c r="AM436" s="100">
        <v>0</v>
      </c>
      <c r="AN436" s="100">
        <v>0</v>
      </c>
      <c r="AO436" s="100">
        <v>0</v>
      </c>
      <c r="AP436" s="100">
        <f t="shared" si="246"/>
        <v>136807</v>
      </c>
      <c r="AQ436" s="101">
        <f t="shared" si="256"/>
        <v>2872941</v>
      </c>
      <c r="AR436" s="101">
        <v>0</v>
      </c>
      <c r="AS436" s="101">
        <v>0</v>
      </c>
      <c r="AT436" s="102" t="s">
        <v>33</v>
      </c>
      <c r="AU436" s="109" t="s">
        <v>118</v>
      </c>
      <c r="AV436" s="100">
        <v>0</v>
      </c>
      <c r="AW436" s="105"/>
      <c r="AX436" s="106">
        <f t="shared" ref="AX436:AX454" si="259">IFERROR((AG436/AF436)*100, "")</f>
        <v>0.7938382794428912</v>
      </c>
      <c r="AY436" s="101">
        <f t="shared" ref="AY436:AY454" si="260">ROUNDUP(AG436*AH436,0)</f>
        <v>21695</v>
      </c>
      <c r="AZ436" s="107"/>
      <c r="BA436" s="94">
        <v>45490.208333333336</v>
      </c>
      <c r="BB436" s="94">
        <v>45490.211805555555</v>
      </c>
      <c r="BC436" s="94">
        <v>45490.418055555558</v>
      </c>
      <c r="BD436" s="94">
        <v>45490.578472222223</v>
      </c>
      <c r="BE436" s="95">
        <f t="shared" ref="BE436:BE455" si="261">+BD436-BA436</f>
        <v>0.37013888888759539</v>
      </c>
      <c r="BF436" s="95">
        <v>8.5416666666666669E-2</v>
      </c>
      <c r="BG436" s="95">
        <v>0.14722222222222223</v>
      </c>
      <c r="BH436" s="95">
        <f t="shared" ref="BH436:BJ455" si="262">+BB436-BA436</f>
        <v>3.4722222189884633E-3</v>
      </c>
      <c r="BI436" s="95">
        <f t="shared" si="262"/>
        <v>0.20625000000291038</v>
      </c>
      <c r="BJ436" s="95">
        <f t="shared" si="262"/>
        <v>0.16041666666569654</v>
      </c>
      <c r="BK436" s="95">
        <f t="shared" ref="BK436:BK455" si="263">+BI436+BJ436</f>
        <v>0.36666666666860692</v>
      </c>
      <c r="BL436" s="95">
        <f t="shared" ref="BL436:BL455" si="264">+BE436-BH436-BF436-BG436</f>
        <v>0.134027777779718</v>
      </c>
      <c r="BM436" s="95">
        <f t="shared" ref="BM436:BM455" si="265">IF(VALUE(BE436)&lt;=VALUE("05:00"),"00:00",VALUE(BE436)-VALUE("05:00"))</f>
        <v>0.16180555555426204</v>
      </c>
      <c r="BN436" s="110"/>
    </row>
    <row r="437" spans="1:66" s="8" customFormat="1" ht="12.75" customHeight="1" x14ac:dyDescent="0.25">
      <c r="A437" s="150">
        <v>388</v>
      </c>
      <c r="B437" s="150">
        <v>59</v>
      </c>
      <c r="C437" s="90">
        <v>3</v>
      </c>
      <c r="D437" s="111" t="s">
        <v>148</v>
      </c>
      <c r="E437" s="210" t="s">
        <v>607</v>
      </c>
      <c r="F437" s="111" t="s">
        <v>16</v>
      </c>
      <c r="G437" s="111" t="s">
        <v>17</v>
      </c>
      <c r="H437" s="111" t="s">
        <v>150</v>
      </c>
      <c r="I437" s="135" t="s">
        <v>610</v>
      </c>
      <c r="J437" s="151">
        <v>45490</v>
      </c>
      <c r="K437" s="135" t="s">
        <v>117</v>
      </c>
      <c r="L437" s="135">
        <v>461000364</v>
      </c>
      <c r="M437" s="151">
        <v>45490</v>
      </c>
      <c r="N437" s="152">
        <v>45490.5625</v>
      </c>
      <c r="O437" s="152">
        <v>45490.5625</v>
      </c>
      <c r="P437" s="152">
        <v>45490.59375</v>
      </c>
      <c r="Q437" s="152">
        <v>45490.770833333336</v>
      </c>
      <c r="R437" s="152" t="s">
        <v>118</v>
      </c>
      <c r="S437" s="114">
        <v>45490.854166666664</v>
      </c>
      <c r="T437" s="114">
        <v>45490.875</v>
      </c>
      <c r="U437" s="114">
        <v>45490.935416666667</v>
      </c>
      <c r="V437" s="165">
        <f t="shared" si="257"/>
        <v>0.20833333333575865</v>
      </c>
      <c r="W437" s="165">
        <v>0.20833333333333334</v>
      </c>
      <c r="X437" s="165">
        <f t="shared" si="258"/>
        <v>2.4253099528692701E-12</v>
      </c>
      <c r="Y437" s="96">
        <v>0</v>
      </c>
      <c r="Z437" s="96">
        <v>59</v>
      </c>
      <c r="AA437" s="96">
        <f t="shared" si="239"/>
        <v>59</v>
      </c>
      <c r="AB437" s="97">
        <f t="shared" si="240"/>
        <v>0</v>
      </c>
      <c r="AC437" s="97">
        <f t="shared" si="241"/>
        <v>4010.12</v>
      </c>
      <c r="AD437" s="98">
        <v>4010.12</v>
      </c>
      <c r="AE437" s="98">
        <v>4027.7</v>
      </c>
      <c r="AF437" s="98">
        <v>4043.4</v>
      </c>
      <c r="AG437" s="98">
        <f t="shared" si="242"/>
        <v>33.2800000000002</v>
      </c>
      <c r="AH437" s="99">
        <v>672.5</v>
      </c>
      <c r="AI437" s="100">
        <f t="shared" si="243"/>
        <v>2719186.5</v>
      </c>
      <c r="AJ437" s="100">
        <f>(5.8*AH437)*2</f>
        <v>7801</v>
      </c>
      <c r="AK437" s="100">
        <v>0</v>
      </c>
      <c r="AL437" s="100">
        <v>0</v>
      </c>
      <c r="AM437" s="100">
        <v>0</v>
      </c>
      <c r="AN437" s="100">
        <v>0</v>
      </c>
      <c r="AO437" s="100"/>
      <c r="AP437" s="100">
        <f t="shared" si="246"/>
        <v>136350</v>
      </c>
      <c r="AQ437" s="101">
        <f t="shared" si="256"/>
        <v>2863338</v>
      </c>
      <c r="AR437" s="101">
        <v>0</v>
      </c>
      <c r="AS437" s="101">
        <v>0</v>
      </c>
      <c r="AT437" s="102" t="s">
        <v>33</v>
      </c>
      <c r="AU437" s="109" t="s">
        <v>118</v>
      </c>
      <c r="AV437" s="100">
        <v>0</v>
      </c>
      <c r="AW437" s="105"/>
      <c r="AX437" s="106">
        <f t="shared" si="259"/>
        <v>0.82306969382203587</v>
      </c>
      <c r="AY437" s="101">
        <f t="shared" si="260"/>
        <v>22381</v>
      </c>
      <c r="AZ437" s="107"/>
      <c r="BA437" s="94">
        <v>45490.5625</v>
      </c>
      <c r="BB437" s="94">
        <v>45490.59375</v>
      </c>
      <c r="BC437" s="94">
        <v>45490.631944444445</v>
      </c>
      <c r="BD437" s="94">
        <v>45490.85</v>
      </c>
      <c r="BE437" s="95">
        <f t="shared" si="261"/>
        <v>0.28749999999854481</v>
      </c>
      <c r="BF437" s="95">
        <v>0.10069444444444445</v>
      </c>
      <c r="BG437" s="95">
        <v>0</v>
      </c>
      <c r="BH437" s="95">
        <f t="shared" si="262"/>
        <v>3.125E-2</v>
      </c>
      <c r="BI437" s="95">
        <f t="shared" si="262"/>
        <v>3.8194444445252884E-2</v>
      </c>
      <c r="BJ437" s="95">
        <f t="shared" si="262"/>
        <v>0.21805555555329192</v>
      </c>
      <c r="BK437" s="95">
        <f t="shared" si="263"/>
        <v>0.25624999999854481</v>
      </c>
      <c r="BL437" s="95">
        <f t="shared" si="264"/>
        <v>0.15555555555410036</v>
      </c>
      <c r="BM437" s="95">
        <f t="shared" si="265"/>
        <v>7.9166666665211466E-2</v>
      </c>
      <c r="BN437" s="110"/>
    </row>
    <row r="438" spans="1:66" s="8" customFormat="1" ht="12.75" customHeight="1" x14ac:dyDescent="0.25">
      <c r="A438" s="150">
        <v>389</v>
      </c>
      <c r="B438" s="150">
        <v>60</v>
      </c>
      <c r="C438" s="90">
        <v>12</v>
      </c>
      <c r="D438" s="111" t="s">
        <v>113</v>
      </c>
      <c r="E438" s="210" t="s">
        <v>366</v>
      </c>
      <c r="F438" s="111" t="s">
        <v>13</v>
      </c>
      <c r="G438" s="111" t="s">
        <v>8</v>
      </c>
      <c r="H438" s="111" t="s">
        <v>131</v>
      </c>
      <c r="I438" s="135" t="s">
        <v>611</v>
      </c>
      <c r="J438" s="151">
        <v>45488</v>
      </c>
      <c r="K438" s="135" t="s">
        <v>122</v>
      </c>
      <c r="L438" s="135">
        <v>282000995</v>
      </c>
      <c r="M438" s="151">
        <v>45491</v>
      </c>
      <c r="N438" s="152">
        <v>45490.791666666664</v>
      </c>
      <c r="O438" s="152">
        <v>45490.791666666664</v>
      </c>
      <c r="P438" s="152">
        <v>45490.795138888891</v>
      </c>
      <c r="Q438" s="152">
        <v>45490.993055555555</v>
      </c>
      <c r="R438" s="152" t="s">
        <v>118</v>
      </c>
      <c r="S438" s="114">
        <v>45491.125</v>
      </c>
      <c r="T438" s="114">
        <v>45491.138888888891</v>
      </c>
      <c r="U438" s="114">
        <v>45491.245138888888</v>
      </c>
      <c r="V438" s="165">
        <f t="shared" si="257"/>
        <v>0.20138888889050577</v>
      </c>
      <c r="W438" s="165">
        <v>0.20833333333333334</v>
      </c>
      <c r="X438" s="165" t="str">
        <f t="shared" si="258"/>
        <v>00:00</v>
      </c>
      <c r="Y438" s="96">
        <v>0</v>
      </c>
      <c r="Z438" s="96">
        <v>58</v>
      </c>
      <c r="AA438" s="96">
        <f t="shared" si="239"/>
        <v>58</v>
      </c>
      <c r="AB438" s="97">
        <f t="shared" si="240"/>
        <v>0</v>
      </c>
      <c r="AC438" s="97">
        <f t="shared" si="241"/>
        <v>3868.9800000000005</v>
      </c>
      <c r="AD438" s="98">
        <v>3868.98</v>
      </c>
      <c r="AE438" s="98">
        <v>3978.1</v>
      </c>
      <c r="AF438" s="98">
        <v>3980.6</v>
      </c>
      <c r="AG438" s="98">
        <f t="shared" si="242"/>
        <v>111.61999999999989</v>
      </c>
      <c r="AH438" s="99">
        <v>1398.7</v>
      </c>
      <c r="AI438" s="100">
        <f t="shared" si="243"/>
        <v>5567665.2199999997</v>
      </c>
      <c r="AJ438" s="100">
        <f>(0.2*AH438)*2</f>
        <v>559.48</v>
      </c>
      <c r="AK438" s="100">
        <v>0</v>
      </c>
      <c r="AL438" s="100">
        <v>0</v>
      </c>
      <c r="AM438" s="100">
        <v>0</v>
      </c>
      <c r="AN438" s="100">
        <v>0</v>
      </c>
      <c r="AO438" s="100">
        <v>0</v>
      </c>
      <c r="AP438" s="100">
        <f t="shared" si="246"/>
        <v>278412</v>
      </c>
      <c r="AQ438" s="101">
        <f t="shared" si="256"/>
        <v>5846637</v>
      </c>
      <c r="AR438" s="101">
        <v>0</v>
      </c>
      <c r="AS438" s="101">
        <v>0</v>
      </c>
      <c r="AT438" s="102" t="s">
        <v>33</v>
      </c>
      <c r="AU438" s="109" t="s">
        <v>118</v>
      </c>
      <c r="AV438" s="100">
        <v>0</v>
      </c>
      <c r="AW438" s="105"/>
      <c r="AX438" s="106">
        <f t="shared" si="259"/>
        <v>2.8040998844395291</v>
      </c>
      <c r="AY438" s="101">
        <f t="shared" si="260"/>
        <v>156123</v>
      </c>
      <c r="AZ438" s="107"/>
      <c r="BA438" s="94">
        <v>45490.791666666664</v>
      </c>
      <c r="BB438" s="94">
        <v>45490.795138888891</v>
      </c>
      <c r="BC438" s="94">
        <v>45490.90625</v>
      </c>
      <c r="BD438" s="94">
        <v>45491.114583333336</v>
      </c>
      <c r="BE438" s="95">
        <f t="shared" si="261"/>
        <v>0.32291666667151731</v>
      </c>
      <c r="BF438" s="95">
        <v>8.4722222222222227E-2</v>
      </c>
      <c r="BG438" s="95">
        <v>9.375E-2</v>
      </c>
      <c r="BH438" s="95">
        <f t="shared" si="262"/>
        <v>3.4722222262644209E-3</v>
      </c>
      <c r="BI438" s="95">
        <f t="shared" si="262"/>
        <v>0.11111111110949423</v>
      </c>
      <c r="BJ438" s="95">
        <f t="shared" si="262"/>
        <v>0.20833333333575865</v>
      </c>
      <c r="BK438" s="95">
        <f t="shared" si="263"/>
        <v>0.31944444444525288</v>
      </c>
      <c r="BL438" s="95">
        <f t="shared" si="264"/>
        <v>0.14097222222303066</v>
      </c>
      <c r="BM438" s="95">
        <f t="shared" si="265"/>
        <v>0.11458333333818396</v>
      </c>
      <c r="BN438" s="110"/>
    </row>
    <row r="439" spans="1:66" s="8" customFormat="1" ht="12.75" customHeight="1" x14ac:dyDescent="0.25">
      <c r="A439" s="150">
        <v>390</v>
      </c>
      <c r="B439" s="150">
        <v>61</v>
      </c>
      <c r="C439" s="90">
        <v>2</v>
      </c>
      <c r="D439" s="111" t="s">
        <v>113</v>
      </c>
      <c r="E439" s="210" t="s">
        <v>596</v>
      </c>
      <c r="F439" s="111" t="s">
        <v>32</v>
      </c>
      <c r="G439" s="111" t="s">
        <v>15</v>
      </c>
      <c r="H439" s="111" t="s">
        <v>120</v>
      </c>
      <c r="I439" s="135" t="s">
        <v>612</v>
      </c>
      <c r="J439" s="151">
        <v>45490</v>
      </c>
      <c r="K439" s="135" t="s">
        <v>117</v>
      </c>
      <c r="L439" s="135">
        <v>261005852</v>
      </c>
      <c r="M439" s="151">
        <v>45491</v>
      </c>
      <c r="N439" s="152">
        <v>45491.041666666664</v>
      </c>
      <c r="O439" s="152">
        <v>45491.041666666664</v>
      </c>
      <c r="P439" s="152">
        <v>45491.045138888891</v>
      </c>
      <c r="Q439" s="152">
        <v>45491.25</v>
      </c>
      <c r="R439" s="152" t="s">
        <v>118</v>
      </c>
      <c r="S439" s="114">
        <v>45491.354166666664</v>
      </c>
      <c r="T439" s="114">
        <v>45491.333333333336</v>
      </c>
      <c r="U439" s="114">
        <v>45491.425000000003</v>
      </c>
      <c r="V439" s="165">
        <f t="shared" si="257"/>
        <v>0.20833333333575865</v>
      </c>
      <c r="W439" s="165">
        <v>0.20833333333333334</v>
      </c>
      <c r="X439" s="165">
        <f t="shared" si="258"/>
        <v>2.4253099528692701E-12</v>
      </c>
      <c r="Y439" s="96">
        <v>0</v>
      </c>
      <c r="Z439" s="96">
        <v>59</v>
      </c>
      <c r="AA439" s="96">
        <f t="shared" si="239"/>
        <v>59</v>
      </c>
      <c r="AB439" s="97">
        <f t="shared" si="240"/>
        <v>0</v>
      </c>
      <c r="AC439" s="97">
        <f t="shared" si="241"/>
        <v>3927.5199999999995</v>
      </c>
      <c r="AD439" s="98">
        <v>3927.52</v>
      </c>
      <c r="AE439" s="98">
        <v>4030.1</v>
      </c>
      <c r="AF439" s="98">
        <v>4034.8</v>
      </c>
      <c r="AG439" s="98">
        <f t="shared" si="242"/>
        <v>107.2800000000002</v>
      </c>
      <c r="AH439" s="99">
        <v>1398.7</v>
      </c>
      <c r="AI439" s="100">
        <f t="shared" si="243"/>
        <v>5643474.7600000007</v>
      </c>
      <c r="AJ439" s="100">
        <f>(0*AH439)*2</f>
        <v>0</v>
      </c>
      <c r="AK439" s="100">
        <v>0</v>
      </c>
      <c r="AL439" s="100">
        <v>0</v>
      </c>
      <c r="AM439" s="100">
        <v>0</v>
      </c>
      <c r="AN439" s="100">
        <v>0</v>
      </c>
      <c r="AO439" s="100">
        <v>0</v>
      </c>
      <c r="AP439" s="100">
        <f t="shared" si="246"/>
        <v>282174</v>
      </c>
      <c r="AQ439" s="101">
        <f t="shared" si="256"/>
        <v>5925649</v>
      </c>
      <c r="AR439" s="101">
        <v>0</v>
      </c>
      <c r="AS439" s="101">
        <v>0</v>
      </c>
      <c r="AT439" s="102" t="s">
        <v>33</v>
      </c>
      <c r="AU439" s="109" t="s">
        <v>118</v>
      </c>
      <c r="AV439" s="100">
        <v>0</v>
      </c>
      <c r="AW439" s="105"/>
      <c r="AX439" s="214">
        <f t="shared" si="259"/>
        <v>2.6588678497075491</v>
      </c>
      <c r="AY439" s="215">
        <f t="shared" si="260"/>
        <v>150053</v>
      </c>
      <c r="AZ439" s="107"/>
      <c r="BA439" s="94">
        <v>45491.041666666664</v>
      </c>
      <c r="BB439" s="94">
        <v>45491.045138888891</v>
      </c>
      <c r="BC439" s="94">
        <v>45491.149305555555</v>
      </c>
      <c r="BD439" s="94">
        <v>45491.311111111114</v>
      </c>
      <c r="BE439" s="95">
        <f t="shared" si="261"/>
        <v>0.26944444444961846</v>
      </c>
      <c r="BF439" s="95">
        <v>4.8611111111111112E-3</v>
      </c>
      <c r="BG439" s="95">
        <v>0.15763888888888888</v>
      </c>
      <c r="BH439" s="95">
        <f t="shared" si="262"/>
        <v>3.4722222262644209E-3</v>
      </c>
      <c r="BI439" s="95">
        <f t="shared" si="262"/>
        <v>0.10416666666424135</v>
      </c>
      <c r="BJ439" s="95">
        <f t="shared" si="262"/>
        <v>0.16180555555911269</v>
      </c>
      <c r="BK439" s="95">
        <f t="shared" si="263"/>
        <v>0.26597222222335404</v>
      </c>
      <c r="BL439" s="95">
        <f t="shared" si="264"/>
        <v>0.10347222222335406</v>
      </c>
      <c r="BM439" s="95">
        <f t="shared" si="265"/>
        <v>6.1111111116285116E-2</v>
      </c>
      <c r="BN439" s="110"/>
    </row>
    <row r="440" spans="1:66" s="8" customFormat="1" ht="12.75" customHeight="1" x14ac:dyDescent="0.25">
      <c r="A440" s="150">
        <v>391</v>
      </c>
      <c r="B440" s="150">
        <v>62</v>
      </c>
      <c r="C440" s="90">
        <v>4</v>
      </c>
      <c r="D440" s="111" t="s">
        <v>148</v>
      </c>
      <c r="E440" s="210" t="s">
        <v>607</v>
      </c>
      <c r="F440" s="111" t="s">
        <v>16</v>
      </c>
      <c r="G440" s="111" t="s">
        <v>17</v>
      </c>
      <c r="H440" s="111" t="s">
        <v>150</v>
      </c>
      <c r="I440" s="135" t="s">
        <v>613</v>
      </c>
      <c r="J440" s="151">
        <v>45490</v>
      </c>
      <c r="K440" s="135" t="s">
        <v>122</v>
      </c>
      <c r="L440" s="135">
        <v>461000365</v>
      </c>
      <c r="M440" s="151">
        <v>45491</v>
      </c>
      <c r="N440" s="152">
        <v>45491.364583333336</v>
      </c>
      <c r="O440" s="152">
        <v>45491.364583333336</v>
      </c>
      <c r="P440" s="152">
        <v>45491.368055555555</v>
      </c>
      <c r="Q440" s="152">
        <v>45491.572916666664</v>
      </c>
      <c r="R440" s="152" t="s">
        <v>118</v>
      </c>
      <c r="S440" s="114">
        <v>45491.635416666664</v>
      </c>
      <c r="T440" s="114">
        <v>45491.645833333336</v>
      </c>
      <c r="U440" s="114">
        <v>45491.777777777781</v>
      </c>
      <c r="V440" s="165">
        <f t="shared" si="257"/>
        <v>0.20833333332848269</v>
      </c>
      <c r="W440" s="165">
        <v>0.20833333333333334</v>
      </c>
      <c r="X440" s="165" t="str">
        <f t="shared" si="258"/>
        <v>00:00</v>
      </c>
      <c r="Y440" s="96">
        <v>0</v>
      </c>
      <c r="Z440" s="96">
        <v>58</v>
      </c>
      <c r="AA440" s="96">
        <f t="shared" si="239"/>
        <v>58</v>
      </c>
      <c r="AB440" s="97">
        <f t="shared" si="240"/>
        <v>0</v>
      </c>
      <c r="AC440" s="97">
        <f t="shared" si="241"/>
        <v>3913.58</v>
      </c>
      <c r="AD440" s="98">
        <v>3913.58</v>
      </c>
      <c r="AE440" s="98">
        <v>3965.1</v>
      </c>
      <c r="AF440" s="98">
        <v>3974.4</v>
      </c>
      <c r="AG440" s="98">
        <f t="shared" si="242"/>
        <v>60.820000000000164</v>
      </c>
      <c r="AH440" s="99">
        <v>672.5</v>
      </c>
      <c r="AI440" s="100">
        <f t="shared" si="243"/>
        <v>2672784</v>
      </c>
      <c r="AJ440" s="100">
        <f>(0*AH440)*2</f>
        <v>0</v>
      </c>
      <c r="AK440" s="100">
        <v>0</v>
      </c>
      <c r="AL440" s="100">
        <v>24140</v>
      </c>
      <c r="AM440" s="100">
        <v>0</v>
      </c>
      <c r="AN440" s="100">
        <v>0</v>
      </c>
      <c r="AO440" s="100">
        <v>0</v>
      </c>
      <c r="AP440" s="100">
        <f t="shared" si="246"/>
        <v>134847</v>
      </c>
      <c r="AQ440" s="101">
        <f t="shared" si="256"/>
        <v>2831771</v>
      </c>
      <c r="AR440" s="101">
        <v>0</v>
      </c>
      <c r="AS440" s="101">
        <v>0</v>
      </c>
      <c r="AT440" s="102" t="s">
        <v>33</v>
      </c>
      <c r="AU440" s="109">
        <v>2</v>
      </c>
      <c r="AV440" s="100">
        <f>15.81-8.81</f>
        <v>7</v>
      </c>
      <c r="AW440" s="105"/>
      <c r="AX440" s="214">
        <f t="shared" si="259"/>
        <v>1.5302938808373632</v>
      </c>
      <c r="AY440" s="215">
        <f t="shared" si="260"/>
        <v>40902</v>
      </c>
      <c r="AZ440" s="107"/>
      <c r="BA440" s="94">
        <v>45491.364583333336</v>
      </c>
      <c r="BB440" s="94">
        <v>45491.368055555555</v>
      </c>
      <c r="BC440" s="94">
        <v>45491.368055555555</v>
      </c>
      <c r="BD440" s="94">
        <v>45491.628472222219</v>
      </c>
      <c r="BE440" s="95">
        <f t="shared" si="261"/>
        <v>0.26388888888322981</v>
      </c>
      <c r="BF440" s="95">
        <v>0.11458333333333333</v>
      </c>
      <c r="BG440" s="95">
        <v>0</v>
      </c>
      <c r="BH440" s="95">
        <f t="shared" si="262"/>
        <v>3.4722222189884633E-3</v>
      </c>
      <c r="BI440" s="95">
        <f t="shared" si="262"/>
        <v>0</v>
      </c>
      <c r="BJ440" s="95">
        <f t="shared" si="262"/>
        <v>0.26041666666424135</v>
      </c>
      <c r="BK440" s="95">
        <f t="shared" si="263"/>
        <v>0.26041666666424135</v>
      </c>
      <c r="BL440" s="95">
        <f t="shared" si="264"/>
        <v>0.14583333333090803</v>
      </c>
      <c r="BM440" s="95">
        <f t="shared" si="265"/>
        <v>5.5555555549896468E-2</v>
      </c>
      <c r="BN440" s="110"/>
    </row>
    <row r="441" spans="1:66" s="8" customFormat="1" ht="12.75" customHeight="1" x14ac:dyDescent="0.25">
      <c r="A441" s="150">
        <v>392</v>
      </c>
      <c r="B441" s="150">
        <v>63</v>
      </c>
      <c r="C441" s="90">
        <v>7</v>
      </c>
      <c r="D441" s="111" t="s">
        <v>113</v>
      </c>
      <c r="E441" s="210" t="s">
        <v>530</v>
      </c>
      <c r="F441" s="111" t="s">
        <v>29</v>
      </c>
      <c r="G441" s="111" t="s">
        <v>15</v>
      </c>
      <c r="H441" s="111" t="s">
        <v>124</v>
      </c>
      <c r="I441" s="135" t="s">
        <v>614</v>
      </c>
      <c r="J441" s="151">
        <v>45491</v>
      </c>
      <c r="K441" s="135" t="s">
        <v>117</v>
      </c>
      <c r="L441" s="135">
        <v>261005854</v>
      </c>
      <c r="M441" s="151">
        <v>45492</v>
      </c>
      <c r="N441" s="152">
        <v>45491.604166666664</v>
      </c>
      <c r="O441" s="152">
        <v>45491.604166666664</v>
      </c>
      <c r="P441" s="152">
        <v>45491.611111111109</v>
      </c>
      <c r="Q441" s="152">
        <v>45491.8125</v>
      </c>
      <c r="R441" s="152" t="s">
        <v>118</v>
      </c>
      <c r="S441" s="114">
        <v>45491.854166666664</v>
      </c>
      <c r="T441" s="114">
        <v>45491.9375</v>
      </c>
      <c r="U441" s="114">
        <v>45492.071527777778</v>
      </c>
      <c r="V441" s="165">
        <f t="shared" si="257"/>
        <v>0.20833333333575865</v>
      </c>
      <c r="W441" s="165">
        <v>0.20833333333333334</v>
      </c>
      <c r="X441" s="165">
        <f t="shared" si="258"/>
        <v>2.4253099528692701E-12</v>
      </c>
      <c r="Y441" s="96">
        <v>1</v>
      </c>
      <c r="Z441" s="96">
        <v>58</v>
      </c>
      <c r="AA441" s="96">
        <f t="shared" si="239"/>
        <v>59</v>
      </c>
      <c r="AB441" s="97">
        <f t="shared" si="240"/>
        <v>66.712881355932197</v>
      </c>
      <c r="AC441" s="97">
        <f t="shared" si="241"/>
        <v>3869.3471186440675</v>
      </c>
      <c r="AD441" s="98">
        <v>3936.06</v>
      </c>
      <c r="AE441" s="98">
        <v>4049.8</v>
      </c>
      <c r="AF441" s="98">
        <v>4051.4</v>
      </c>
      <c r="AG441" s="98">
        <f t="shared" si="242"/>
        <v>115.34000000000015</v>
      </c>
      <c r="AH441" s="99">
        <v>797.2</v>
      </c>
      <c r="AI441" s="100">
        <f t="shared" si="243"/>
        <v>3229776.08</v>
      </c>
      <c r="AJ441" s="100">
        <f>(0*AH441)*2</f>
        <v>0</v>
      </c>
      <c r="AK441" s="100">
        <v>0</v>
      </c>
      <c r="AL441" s="100">
        <v>0</v>
      </c>
      <c r="AM441" s="100">
        <v>0</v>
      </c>
      <c r="AN441" s="100">
        <v>0</v>
      </c>
      <c r="AO441" s="100">
        <v>0</v>
      </c>
      <c r="AP441" s="100">
        <f t="shared" si="246"/>
        <v>161489</v>
      </c>
      <c r="AQ441" s="101">
        <f t="shared" si="256"/>
        <v>3391266</v>
      </c>
      <c r="AR441" s="101">
        <v>0</v>
      </c>
      <c r="AS441" s="101">
        <v>0</v>
      </c>
      <c r="AT441" s="102" t="s">
        <v>33</v>
      </c>
      <c r="AU441" s="109" t="s">
        <v>118</v>
      </c>
      <c r="AV441" s="100">
        <v>0</v>
      </c>
      <c r="AW441" s="105"/>
      <c r="AX441" s="214">
        <f t="shared" si="259"/>
        <v>2.8469171150713368</v>
      </c>
      <c r="AY441" s="215">
        <f t="shared" si="260"/>
        <v>91950</v>
      </c>
      <c r="AZ441" s="107"/>
      <c r="BA441" s="94">
        <v>45491.604166666664</v>
      </c>
      <c r="BB441" s="94">
        <v>45491.611111111109</v>
      </c>
      <c r="BC441" s="94">
        <v>45491.688888888886</v>
      </c>
      <c r="BD441" s="94">
        <v>45491.859722222223</v>
      </c>
      <c r="BE441" s="95">
        <f t="shared" si="261"/>
        <v>0.25555555555911269</v>
      </c>
      <c r="BF441" s="95">
        <v>3.8194444444444448E-2</v>
      </c>
      <c r="BG441" s="95">
        <v>9.930555555555555E-2</v>
      </c>
      <c r="BH441" s="95">
        <f t="shared" si="262"/>
        <v>6.9444444452528842E-3</v>
      </c>
      <c r="BI441" s="95">
        <f t="shared" si="262"/>
        <v>7.7777777776645962E-2</v>
      </c>
      <c r="BJ441" s="95">
        <f t="shared" si="262"/>
        <v>0.17083333333721384</v>
      </c>
      <c r="BK441" s="95">
        <f t="shared" si="263"/>
        <v>0.24861111111385981</v>
      </c>
      <c r="BL441" s="95">
        <f t="shared" si="264"/>
        <v>0.11111111111385981</v>
      </c>
      <c r="BM441" s="95">
        <f t="shared" si="265"/>
        <v>4.7222222225779348E-2</v>
      </c>
      <c r="BN441" s="110"/>
    </row>
    <row r="442" spans="1:66" s="8" customFormat="1" ht="12.75" customHeight="1" x14ac:dyDescent="0.25">
      <c r="A442" s="150">
        <v>393</v>
      </c>
      <c r="B442" s="150">
        <v>64</v>
      </c>
      <c r="C442" s="90">
        <v>19</v>
      </c>
      <c r="D442" s="111" t="s">
        <v>148</v>
      </c>
      <c r="E442" s="91" t="s">
        <v>560</v>
      </c>
      <c r="F442" s="111" t="s">
        <v>19</v>
      </c>
      <c r="G442" s="90" t="s">
        <v>17</v>
      </c>
      <c r="H442" s="90" t="s">
        <v>150</v>
      </c>
      <c r="I442" s="96" t="s">
        <v>615</v>
      </c>
      <c r="J442" s="151">
        <v>45491</v>
      </c>
      <c r="K442" s="135" t="s">
        <v>122</v>
      </c>
      <c r="L442" s="135">
        <v>461000366</v>
      </c>
      <c r="M442" s="151">
        <v>45492</v>
      </c>
      <c r="N442" s="152">
        <v>45491.84375</v>
      </c>
      <c r="O442" s="152">
        <v>45491.822916666664</v>
      </c>
      <c r="P442" s="152">
        <v>45491.847222222219</v>
      </c>
      <c r="Q442" s="152">
        <v>45491.989583333336</v>
      </c>
      <c r="R442" s="152">
        <v>45491.84375</v>
      </c>
      <c r="S442" s="114">
        <v>45492.135416666664</v>
      </c>
      <c r="T442" s="114">
        <v>45492.145833333336</v>
      </c>
      <c r="U442" s="114">
        <v>45492.20208333333</v>
      </c>
      <c r="V442" s="165">
        <f t="shared" si="257"/>
        <v>0.16666666667151731</v>
      </c>
      <c r="W442" s="165">
        <v>0.20833333333333334</v>
      </c>
      <c r="X442" s="165" t="str">
        <f t="shared" si="258"/>
        <v>00:00</v>
      </c>
      <c r="Y442" s="96">
        <v>0</v>
      </c>
      <c r="Z442" s="96">
        <v>59</v>
      </c>
      <c r="AA442" s="96">
        <f t="shared" si="239"/>
        <v>59</v>
      </c>
      <c r="AB442" s="97">
        <f t="shared" si="240"/>
        <v>0</v>
      </c>
      <c r="AC442" s="97">
        <f t="shared" si="241"/>
        <v>3976.4999999999995</v>
      </c>
      <c r="AD442" s="98">
        <v>3976.5</v>
      </c>
      <c r="AE442" s="98">
        <v>4047.4</v>
      </c>
      <c r="AF442" s="98">
        <v>4055</v>
      </c>
      <c r="AG442" s="98">
        <f t="shared" si="242"/>
        <v>78.5</v>
      </c>
      <c r="AH442" s="99">
        <v>672.5</v>
      </c>
      <c r="AI442" s="100">
        <f t="shared" si="243"/>
        <v>2726987.5</v>
      </c>
      <c r="AJ442" s="100">
        <f>(1.4*AH442)*2</f>
        <v>1882.9999999999998</v>
      </c>
      <c r="AK442" s="100">
        <v>0</v>
      </c>
      <c r="AL442" s="100">
        <v>0</v>
      </c>
      <c r="AM442" s="100">
        <v>0</v>
      </c>
      <c r="AN442" s="100">
        <v>0</v>
      </c>
      <c r="AO442" s="100">
        <v>0</v>
      </c>
      <c r="AP442" s="100">
        <f t="shared" si="246"/>
        <v>136444</v>
      </c>
      <c r="AQ442" s="101">
        <f t="shared" si="256"/>
        <v>2865315</v>
      </c>
      <c r="AR442" s="101">
        <v>0</v>
      </c>
      <c r="AS442" s="101">
        <v>0</v>
      </c>
      <c r="AT442" s="102" t="s">
        <v>33</v>
      </c>
      <c r="AU442" s="109" t="s">
        <v>118</v>
      </c>
      <c r="AV442" s="100">
        <v>0</v>
      </c>
      <c r="AW442" s="105"/>
      <c r="AX442" s="214">
        <f t="shared" si="259"/>
        <v>1.9358816276202218</v>
      </c>
      <c r="AY442" s="215">
        <f t="shared" si="260"/>
        <v>52792</v>
      </c>
      <c r="AZ442" s="107"/>
      <c r="BA442" s="94">
        <v>45491.84375</v>
      </c>
      <c r="BB442" s="94">
        <v>45491.847222222219</v>
      </c>
      <c r="BC442" s="94">
        <v>45491.881944444445</v>
      </c>
      <c r="BD442" s="94">
        <v>45492.069444444445</v>
      </c>
      <c r="BE442" s="95">
        <f t="shared" si="261"/>
        <v>0.22569444444525288</v>
      </c>
      <c r="BF442" s="95">
        <v>1.3194444444444444E-2</v>
      </c>
      <c r="BG442" s="95">
        <v>3.7499999999999999E-2</v>
      </c>
      <c r="BH442" s="95">
        <f t="shared" si="262"/>
        <v>3.4722222189884633E-3</v>
      </c>
      <c r="BI442" s="95">
        <f t="shared" si="262"/>
        <v>3.4722222226264421E-2</v>
      </c>
      <c r="BJ442" s="95">
        <f t="shared" si="262"/>
        <v>0.1875</v>
      </c>
      <c r="BK442" s="95">
        <f t="shared" si="263"/>
        <v>0.22222222222626442</v>
      </c>
      <c r="BL442" s="95">
        <f t="shared" si="264"/>
        <v>0.17152777778181996</v>
      </c>
      <c r="BM442" s="95">
        <f t="shared" si="265"/>
        <v>1.7361111111919542E-2</v>
      </c>
      <c r="BN442" s="110"/>
    </row>
    <row r="443" spans="1:66" s="8" customFormat="1" ht="12.75" customHeight="1" x14ac:dyDescent="0.25">
      <c r="A443" s="150">
        <v>394</v>
      </c>
      <c r="B443" s="150">
        <v>65</v>
      </c>
      <c r="C443" s="90">
        <v>5</v>
      </c>
      <c r="D443" s="111" t="s">
        <v>148</v>
      </c>
      <c r="E443" s="210" t="s">
        <v>607</v>
      </c>
      <c r="F443" s="150" t="s">
        <v>16</v>
      </c>
      <c r="G443" s="111" t="s">
        <v>17</v>
      </c>
      <c r="H443" s="111" t="s">
        <v>150</v>
      </c>
      <c r="I443" s="135" t="s">
        <v>616</v>
      </c>
      <c r="J443" s="151">
        <v>45491</v>
      </c>
      <c r="K443" s="135" t="s">
        <v>122</v>
      </c>
      <c r="L443" s="135">
        <v>461000367</v>
      </c>
      <c r="M443" s="151">
        <v>45492</v>
      </c>
      <c r="N443" s="152">
        <v>45492.354166666664</v>
      </c>
      <c r="O443" s="152">
        <v>45492.354166666664</v>
      </c>
      <c r="P443" s="152">
        <v>45492.381944444445</v>
      </c>
      <c r="Q443" s="152">
        <v>45492.5625</v>
      </c>
      <c r="R443" s="152" t="s">
        <v>118</v>
      </c>
      <c r="S443" s="114">
        <v>45492.645833333336</v>
      </c>
      <c r="T443" s="114">
        <v>45492.666666666664</v>
      </c>
      <c r="U443" s="114">
        <v>45492.772222222222</v>
      </c>
      <c r="V443" s="165">
        <f t="shared" si="257"/>
        <v>0.20833333333575865</v>
      </c>
      <c r="W443" s="165">
        <v>0.20833333333333334</v>
      </c>
      <c r="X443" s="165">
        <f t="shared" si="258"/>
        <v>2.4253099528692701E-12</v>
      </c>
      <c r="Y443" s="96">
        <v>2</v>
      </c>
      <c r="Z443" s="96">
        <v>57</v>
      </c>
      <c r="AA443" s="96">
        <f t="shared" si="239"/>
        <v>59</v>
      </c>
      <c r="AB443" s="97">
        <f t="shared" si="240"/>
        <v>128.69796610169493</v>
      </c>
      <c r="AC443" s="97">
        <f t="shared" si="241"/>
        <v>3667.8920338983057</v>
      </c>
      <c r="AD443" s="98">
        <v>3796.59</v>
      </c>
      <c r="AE443" s="98">
        <v>4048.2</v>
      </c>
      <c r="AF443" s="98">
        <v>4051.2</v>
      </c>
      <c r="AG443" s="98">
        <f t="shared" si="242"/>
        <v>254.60999999999967</v>
      </c>
      <c r="AH443" s="99">
        <v>672.5</v>
      </c>
      <c r="AI443" s="100">
        <f t="shared" si="243"/>
        <v>2724432</v>
      </c>
      <c r="AJ443" s="100">
        <f>(0.4*AH443)*2</f>
        <v>538</v>
      </c>
      <c r="AK443" s="100">
        <v>0</v>
      </c>
      <c r="AL443" s="100">
        <v>0</v>
      </c>
      <c r="AM443" s="100">
        <v>0</v>
      </c>
      <c r="AN443" s="100">
        <v>0</v>
      </c>
      <c r="AO443" s="100">
        <v>0</v>
      </c>
      <c r="AP443" s="100">
        <f t="shared" si="246"/>
        <v>136249</v>
      </c>
      <c r="AQ443" s="101">
        <f t="shared" si="256"/>
        <v>2861219</v>
      </c>
      <c r="AR443" s="101">
        <v>0</v>
      </c>
      <c r="AS443" s="101">
        <v>0</v>
      </c>
      <c r="AT443" s="102" t="s">
        <v>33</v>
      </c>
      <c r="AU443" s="109" t="s">
        <v>118</v>
      </c>
      <c r="AV443" s="100">
        <v>0</v>
      </c>
      <c r="AW443" s="105"/>
      <c r="AX443" s="216">
        <f t="shared" si="259"/>
        <v>6.2848045023696608</v>
      </c>
      <c r="AY443" s="217">
        <f t="shared" si="260"/>
        <v>171226</v>
      </c>
      <c r="AZ443" s="107"/>
      <c r="BA443" s="94">
        <v>45492.354166666664</v>
      </c>
      <c r="BB443" s="94">
        <v>45492.381944444445</v>
      </c>
      <c r="BC443" s="94">
        <v>45492.392361111109</v>
      </c>
      <c r="BD443" s="94">
        <v>45492.656944444447</v>
      </c>
      <c r="BE443" s="95">
        <f t="shared" si="261"/>
        <v>0.30277777778246673</v>
      </c>
      <c r="BF443" s="95">
        <v>7.4999999999999997E-2</v>
      </c>
      <c r="BG443" s="95">
        <v>3.4722222222222224E-2</v>
      </c>
      <c r="BH443" s="95">
        <f t="shared" si="262"/>
        <v>2.7777777781011537E-2</v>
      </c>
      <c r="BI443" s="95">
        <f t="shared" si="262"/>
        <v>1.0416666664241347E-2</v>
      </c>
      <c r="BJ443" s="95">
        <f t="shared" si="262"/>
        <v>0.26458333333721384</v>
      </c>
      <c r="BK443" s="95">
        <f t="shared" si="263"/>
        <v>0.27500000000145519</v>
      </c>
      <c r="BL443" s="95">
        <f t="shared" si="264"/>
        <v>0.16527777777923297</v>
      </c>
      <c r="BM443" s="95">
        <f t="shared" si="265"/>
        <v>9.4444444449133386E-2</v>
      </c>
      <c r="BN443" s="110"/>
    </row>
    <row r="444" spans="1:66" s="8" customFormat="1" ht="12.75" customHeight="1" x14ac:dyDescent="0.25">
      <c r="A444" s="150">
        <v>395</v>
      </c>
      <c r="B444" s="150">
        <v>66</v>
      </c>
      <c r="C444" s="90">
        <v>6</v>
      </c>
      <c r="D444" s="111" t="s">
        <v>148</v>
      </c>
      <c r="E444" s="210" t="s">
        <v>607</v>
      </c>
      <c r="F444" s="150" t="s">
        <v>16</v>
      </c>
      <c r="G444" s="111" t="s">
        <v>17</v>
      </c>
      <c r="H444" s="111" t="s">
        <v>150</v>
      </c>
      <c r="I444" s="135" t="s">
        <v>617</v>
      </c>
      <c r="J444" s="151">
        <v>45491</v>
      </c>
      <c r="K444" s="135" t="s">
        <v>117</v>
      </c>
      <c r="L444" s="135">
        <v>461000368</v>
      </c>
      <c r="M444" s="151">
        <v>45493</v>
      </c>
      <c r="N444" s="152">
        <v>45492.541666666664</v>
      </c>
      <c r="O444" s="152">
        <v>45492.541666666664</v>
      </c>
      <c r="P444" s="152">
        <v>45492.545138888891</v>
      </c>
      <c r="Q444" s="152">
        <v>45492.875</v>
      </c>
      <c r="R444" s="152" t="s">
        <v>118</v>
      </c>
      <c r="S444" s="114">
        <v>45493.041666666664</v>
      </c>
      <c r="T444" s="114">
        <v>45493.0625</v>
      </c>
      <c r="U444" s="114">
        <v>45493.239583333336</v>
      </c>
      <c r="V444" s="165">
        <f t="shared" si="257"/>
        <v>0.33333333333575865</v>
      </c>
      <c r="W444" s="165">
        <v>0.20833333333333334</v>
      </c>
      <c r="X444" s="165">
        <f t="shared" si="258"/>
        <v>0.12500000000242531</v>
      </c>
      <c r="Y444" s="96">
        <v>0</v>
      </c>
      <c r="Z444" s="96">
        <v>59</v>
      </c>
      <c r="AA444" s="96">
        <f t="shared" si="239"/>
        <v>59</v>
      </c>
      <c r="AB444" s="97">
        <f t="shared" si="240"/>
        <v>0</v>
      </c>
      <c r="AC444" s="97">
        <f t="shared" si="241"/>
        <v>4012.0300000000007</v>
      </c>
      <c r="AD444" s="98">
        <v>4012.03</v>
      </c>
      <c r="AE444" s="98">
        <v>4030.6</v>
      </c>
      <c r="AF444" s="98">
        <v>4052.4</v>
      </c>
      <c r="AG444" s="98">
        <f t="shared" si="242"/>
        <v>40.369999999999891</v>
      </c>
      <c r="AH444" s="99">
        <v>672.5</v>
      </c>
      <c r="AI444" s="100">
        <f t="shared" si="243"/>
        <v>2725239</v>
      </c>
      <c r="AJ444" s="100">
        <f>(0*AH444)*2</f>
        <v>0</v>
      </c>
      <c r="AK444" s="100">
        <v>0</v>
      </c>
      <c r="AL444" s="100">
        <v>24290</v>
      </c>
      <c r="AM444" s="100">
        <v>0</v>
      </c>
      <c r="AN444" s="100">
        <v>0</v>
      </c>
      <c r="AO444" s="100">
        <v>0</v>
      </c>
      <c r="AP444" s="100">
        <f t="shared" si="246"/>
        <v>137477</v>
      </c>
      <c r="AQ444" s="101">
        <f t="shared" si="256"/>
        <v>2887006</v>
      </c>
      <c r="AR444" s="101">
        <v>0</v>
      </c>
      <c r="AS444" s="101">
        <v>0</v>
      </c>
      <c r="AT444" s="102" t="s">
        <v>33</v>
      </c>
      <c r="AU444" s="109">
        <v>11</v>
      </c>
      <c r="AV444" s="100">
        <f>32.74-19.24</f>
        <v>13.500000000000004</v>
      </c>
      <c r="AW444" s="105"/>
      <c r="AX444" s="216">
        <f t="shared" si="259"/>
        <v>0.99619978284473132</v>
      </c>
      <c r="AY444" s="217">
        <f t="shared" si="260"/>
        <v>27149</v>
      </c>
      <c r="AZ444" s="107"/>
      <c r="BA444" s="94">
        <v>45492.541666666664</v>
      </c>
      <c r="BB444" s="94">
        <v>45492.545138888891</v>
      </c>
      <c r="BC444" s="94">
        <v>45492.752083333333</v>
      </c>
      <c r="BD444" s="94">
        <v>45493.037499999999</v>
      </c>
      <c r="BE444" s="95">
        <f t="shared" si="261"/>
        <v>0.49583333333430346</v>
      </c>
      <c r="BF444" s="95">
        <v>0.17430555555555555</v>
      </c>
      <c r="BG444" s="95">
        <v>0.13055555555555556</v>
      </c>
      <c r="BH444" s="95">
        <f t="shared" si="262"/>
        <v>3.4722222262644209E-3</v>
      </c>
      <c r="BI444" s="95">
        <f t="shared" si="262"/>
        <v>0.2069444444423425</v>
      </c>
      <c r="BJ444" s="95">
        <f t="shared" si="262"/>
        <v>0.28541666666569654</v>
      </c>
      <c r="BK444" s="95">
        <f t="shared" si="263"/>
        <v>0.49236111110803904</v>
      </c>
      <c r="BL444" s="95">
        <f t="shared" si="264"/>
        <v>0.18749999999692793</v>
      </c>
      <c r="BM444" s="95">
        <f t="shared" si="265"/>
        <v>0.28750000000097009</v>
      </c>
      <c r="BN444" s="110" t="s">
        <v>618</v>
      </c>
    </row>
    <row r="445" spans="1:66" s="8" customFormat="1" ht="12.75" customHeight="1" x14ac:dyDescent="0.25">
      <c r="A445" s="150">
        <v>396</v>
      </c>
      <c r="B445" s="150">
        <v>67</v>
      </c>
      <c r="C445" s="90">
        <v>7</v>
      </c>
      <c r="D445" s="111" t="s">
        <v>148</v>
      </c>
      <c r="E445" s="210" t="s">
        <v>607</v>
      </c>
      <c r="F445" s="150" t="s">
        <v>16</v>
      </c>
      <c r="G445" s="111" t="s">
        <v>17</v>
      </c>
      <c r="H445" s="111" t="s">
        <v>150</v>
      </c>
      <c r="I445" s="135" t="s">
        <v>619</v>
      </c>
      <c r="J445" s="151">
        <v>45491</v>
      </c>
      <c r="K445" s="135" t="s">
        <v>122</v>
      </c>
      <c r="L445" s="135">
        <v>461000369</v>
      </c>
      <c r="M445" s="151">
        <v>45493</v>
      </c>
      <c r="N445" s="152">
        <v>45492.791666666664</v>
      </c>
      <c r="O445" s="152">
        <v>45492.791666666664</v>
      </c>
      <c r="P445" s="152">
        <v>45492.795138888891</v>
      </c>
      <c r="Q445" s="152">
        <v>45493.25</v>
      </c>
      <c r="R445" s="152" t="s">
        <v>118</v>
      </c>
      <c r="S445" s="114">
        <v>45493.354166666664</v>
      </c>
      <c r="T445" s="114">
        <v>45493.375</v>
      </c>
      <c r="U445" s="114">
        <v>45493.506944444445</v>
      </c>
      <c r="V445" s="165">
        <f t="shared" si="257"/>
        <v>0.45833333333575865</v>
      </c>
      <c r="W445" s="165">
        <v>0.20833333333333334</v>
      </c>
      <c r="X445" s="165">
        <f t="shared" si="258"/>
        <v>0.25000000000242528</v>
      </c>
      <c r="Y445" s="96">
        <v>0</v>
      </c>
      <c r="Z445" s="96">
        <v>59</v>
      </c>
      <c r="AA445" s="96">
        <f t="shared" si="239"/>
        <v>59</v>
      </c>
      <c r="AB445" s="97">
        <f t="shared" si="240"/>
        <v>0</v>
      </c>
      <c r="AC445" s="97">
        <f t="shared" si="241"/>
        <v>3997.5299999999997</v>
      </c>
      <c r="AD445" s="98">
        <v>3997.53</v>
      </c>
      <c r="AE445" s="98">
        <v>3999.3</v>
      </c>
      <c r="AF445" s="98">
        <v>4023</v>
      </c>
      <c r="AG445" s="98">
        <f t="shared" si="242"/>
        <v>25.4699999999998</v>
      </c>
      <c r="AH445" s="99">
        <v>672.5</v>
      </c>
      <c r="AI445" s="100">
        <f t="shared" si="243"/>
        <v>2705467.5</v>
      </c>
      <c r="AJ445" s="100">
        <f>(0*AH445)*2</f>
        <v>0</v>
      </c>
      <c r="AK445" s="100">
        <v>0</v>
      </c>
      <c r="AL445" s="100">
        <v>24290</v>
      </c>
      <c r="AM445" s="100">
        <v>0</v>
      </c>
      <c r="AN445" s="100">
        <v>0</v>
      </c>
      <c r="AO445" s="100">
        <v>0</v>
      </c>
      <c r="AP445" s="100">
        <f t="shared" si="246"/>
        <v>136488</v>
      </c>
      <c r="AQ445" s="101">
        <f t="shared" si="256"/>
        <v>2866246</v>
      </c>
      <c r="AR445" s="101">
        <v>0</v>
      </c>
      <c r="AS445" s="101">
        <v>0</v>
      </c>
      <c r="AT445" s="102" t="s">
        <v>33</v>
      </c>
      <c r="AU445" s="109">
        <v>13</v>
      </c>
      <c r="AV445" s="100">
        <f>36.56-20.56</f>
        <v>16.000000000000004</v>
      </c>
      <c r="AW445" s="105"/>
      <c r="AX445" s="216">
        <f t="shared" si="259"/>
        <v>0.63310961968679591</v>
      </c>
      <c r="AY445" s="217">
        <f t="shared" si="260"/>
        <v>17129</v>
      </c>
      <c r="AZ445" s="107"/>
      <c r="BA445" s="94">
        <v>45492.791666666664</v>
      </c>
      <c r="BB445" s="94">
        <v>45492.795138888891</v>
      </c>
      <c r="BC445" s="94">
        <v>45493.052083333336</v>
      </c>
      <c r="BD445" s="94">
        <v>45493.347222222219</v>
      </c>
      <c r="BE445" s="95">
        <f t="shared" si="261"/>
        <v>0.55555555555474712</v>
      </c>
      <c r="BF445" s="95">
        <v>0.10555555555555556</v>
      </c>
      <c r="BG445" s="95">
        <v>0.24930555555555556</v>
      </c>
      <c r="BH445" s="95">
        <f t="shared" si="262"/>
        <v>3.4722222262644209E-3</v>
      </c>
      <c r="BI445" s="95">
        <f t="shared" si="262"/>
        <v>0.25694444444525288</v>
      </c>
      <c r="BJ445" s="95">
        <f t="shared" si="262"/>
        <v>0.29513888888322981</v>
      </c>
      <c r="BK445" s="95">
        <f t="shared" si="263"/>
        <v>0.55208333332848269</v>
      </c>
      <c r="BL445" s="95">
        <f t="shared" si="264"/>
        <v>0.19722222221737157</v>
      </c>
      <c r="BM445" s="95">
        <f t="shared" si="265"/>
        <v>0.34722222222141375</v>
      </c>
      <c r="BN445" s="110" t="s">
        <v>620</v>
      </c>
    </row>
    <row r="446" spans="1:66" s="8" customFormat="1" ht="12.75" customHeight="1" x14ac:dyDescent="0.25">
      <c r="A446" s="150">
        <v>397</v>
      </c>
      <c r="B446" s="150">
        <v>68</v>
      </c>
      <c r="C446" s="90">
        <v>10</v>
      </c>
      <c r="D446" s="111" t="s">
        <v>113</v>
      </c>
      <c r="E446" s="210" t="s">
        <v>551</v>
      </c>
      <c r="F446" s="150" t="s">
        <v>29</v>
      </c>
      <c r="G446" s="111" t="s">
        <v>8</v>
      </c>
      <c r="H446" s="111" t="s">
        <v>124</v>
      </c>
      <c r="I446" s="135" t="s">
        <v>621</v>
      </c>
      <c r="J446" s="151">
        <v>45493</v>
      </c>
      <c r="K446" s="135" t="s">
        <v>117</v>
      </c>
      <c r="L446" s="135">
        <v>461000370</v>
      </c>
      <c r="M446" s="151">
        <v>45493</v>
      </c>
      <c r="N446" s="152">
        <v>45493.399305555555</v>
      </c>
      <c r="O446" s="152">
        <v>45493.399305555555</v>
      </c>
      <c r="P446" s="152">
        <v>45493.40625</v>
      </c>
      <c r="Q446" s="152">
        <v>45493.583333333336</v>
      </c>
      <c r="R446" s="152" t="s">
        <v>118</v>
      </c>
      <c r="S446" s="114" t="s">
        <v>118</v>
      </c>
      <c r="T446" s="114">
        <v>45493.604166666664</v>
      </c>
      <c r="U446" s="114">
        <v>45493.686805555553</v>
      </c>
      <c r="V446" s="165">
        <f t="shared" si="257"/>
        <v>0.18402777778101154</v>
      </c>
      <c r="W446" s="165">
        <v>0.20833333333333334</v>
      </c>
      <c r="X446" s="165" t="str">
        <f t="shared" si="258"/>
        <v>00:00</v>
      </c>
      <c r="Y446" s="96">
        <v>16</v>
      </c>
      <c r="Z446" s="96">
        <v>42</v>
      </c>
      <c r="AA446" s="96">
        <f t="shared" si="239"/>
        <v>58</v>
      </c>
      <c r="AB446" s="97">
        <f t="shared" si="240"/>
        <v>1070.1572413793103</v>
      </c>
      <c r="AC446" s="97">
        <f t="shared" si="241"/>
        <v>2809.1627586206896</v>
      </c>
      <c r="AD446" s="98">
        <v>3879.32</v>
      </c>
      <c r="AE446" s="98">
        <v>3962.8</v>
      </c>
      <c r="AF446" s="98">
        <v>3971.4</v>
      </c>
      <c r="AG446" s="98">
        <f t="shared" si="242"/>
        <v>92.079999999999927</v>
      </c>
      <c r="AH446" s="99">
        <v>797.2</v>
      </c>
      <c r="AI446" s="100">
        <f t="shared" si="243"/>
        <v>3166000.08</v>
      </c>
      <c r="AJ446" s="100">
        <f>(0.8*AH446)*2</f>
        <v>1275.5200000000002</v>
      </c>
      <c r="AK446" s="100">
        <v>0</v>
      </c>
      <c r="AL446" s="100">
        <v>0</v>
      </c>
      <c r="AM446" s="100">
        <v>0</v>
      </c>
      <c r="AN446" s="100">
        <v>0</v>
      </c>
      <c r="AO446" s="100">
        <v>0</v>
      </c>
      <c r="AP446" s="100">
        <f t="shared" si="246"/>
        <v>158364</v>
      </c>
      <c r="AQ446" s="101">
        <f t="shared" si="256"/>
        <v>3325640</v>
      </c>
      <c r="AR446" s="101">
        <v>0</v>
      </c>
      <c r="AS446" s="101">
        <v>0</v>
      </c>
      <c r="AT446" s="102" t="s">
        <v>33</v>
      </c>
      <c r="AU446" s="109" t="s">
        <v>118</v>
      </c>
      <c r="AV446" s="100">
        <v>0</v>
      </c>
      <c r="AW446" s="105"/>
      <c r="AX446" s="216">
        <f t="shared" si="259"/>
        <v>2.3185778314951886</v>
      </c>
      <c r="AY446" s="217">
        <f t="shared" si="260"/>
        <v>73407</v>
      </c>
      <c r="AZ446" s="107"/>
      <c r="BA446" s="94">
        <v>45493.399305555555</v>
      </c>
      <c r="BB446" s="94">
        <v>45493.40625</v>
      </c>
      <c r="BC446" s="94">
        <v>45493.413194444445</v>
      </c>
      <c r="BD446" s="94">
        <v>45493.524305555555</v>
      </c>
      <c r="BE446" s="95">
        <f t="shared" si="261"/>
        <v>0.125</v>
      </c>
      <c r="BF446" s="95">
        <v>0</v>
      </c>
      <c r="BG446" s="95">
        <v>2.4305555555555556E-2</v>
      </c>
      <c r="BH446" s="95">
        <f t="shared" si="262"/>
        <v>6.9444444452528842E-3</v>
      </c>
      <c r="BI446" s="95">
        <f t="shared" si="262"/>
        <v>6.9444444452528842E-3</v>
      </c>
      <c r="BJ446" s="95">
        <f t="shared" si="262"/>
        <v>0.11111111110949423</v>
      </c>
      <c r="BK446" s="95">
        <f t="shared" si="263"/>
        <v>0.11805555555474712</v>
      </c>
      <c r="BL446" s="95">
        <f t="shared" si="264"/>
        <v>9.3749999999191563E-2</v>
      </c>
      <c r="BM446" s="95" t="str">
        <f t="shared" si="265"/>
        <v>00:00</v>
      </c>
      <c r="BN446" s="110"/>
    </row>
    <row r="447" spans="1:66" s="8" customFormat="1" ht="12.75" customHeight="1" x14ac:dyDescent="0.25">
      <c r="A447" s="150">
        <v>398</v>
      </c>
      <c r="B447" s="150">
        <v>69</v>
      </c>
      <c r="C447" s="90">
        <v>8</v>
      </c>
      <c r="D447" s="111" t="s">
        <v>148</v>
      </c>
      <c r="E447" s="210" t="s">
        <v>607</v>
      </c>
      <c r="F447" s="150" t="s">
        <v>16</v>
      </c>
      <c r="G447" s="111" t="s">
        <v>17</v>
      </c>
      <c r="H447" s="111" t="s">
        <v>150</v>
      </c>
      <c r="I447" s="135" t="s">
        <v>622</v>
      </c>
      <c r="J447" s="151">
        <v>45492</v>
      </c>
      <c r="K447" s="135" t="s">
        <v>122</v>
      </c>
      <c r="L447" s="135">
        <v>461000371</v>
      </c>
      <c r="M447" s="151">
        <v>45494</v>
      </c>
      <c r="N447" s="152">
        <v>45494.4375</v>
      </c>
      <c r="O447" s="152">
        <v>45494.4375</v>
      </c>
      <c r="P447" s="152">
        <v>45494.440972222219</v>
      </c>
      <c r="Q447" s="152">
        <v>45494.645833333336</v>
      </c>
      <c r="R447" s="152" t="s">
        <v>118</v>
      </c>
      <c r="S447" s="114" t="s">
        <v>118</v>
      </c>
      <c r="T447" s="114">
        <v>45494.694444444445</v>
      </c>
      <c r="U447" s="114">
        <v>45494.791666666664</v>
      </c>
      <c r="V447" s="165">
        <f t="shared" si="257"/>
        <v>0.20833333333575865</v>
      </c>
      <c r="W447" s="165">
        <v>0.20833333333333334</v>
      </c>
      <c r="X447" s="165">
        <f t="shared" si="258"/>
        <v>2.4253099528692701E-12</v>
      </c>
      <c r="Y447" s="96">
        <v>0</v>
      </c>
      <c r="Z447" s="96">
        <v>58</v>
      </c>
      <c r="AA447" s="96">
        <f t="shared" si="239"/>
        <v>58</v>
      </c>
      <c r="AB447" s="97">
        <f t="shared" si="240"/>
        <v>0</v>
      </c>
      <c r="AC447" s="97">
        <f t="shared" si="241"/>
        <v>3983.2900000000004</v>
      </c>
      <c r="AD447" s="98">
        <v>3983.29</v>
      </c>
      <c r="AE447" s="98">
        <v>3972.5</v>
      </c>
      <c r="AF447" s="98">
        <v>4004.8</v>
      </c>
      <c r="AG447" s="98">
        <f t="shared" si="242"/>
        <v>21.510000000000218</v>
      </c>
      <c r="AH447" s="99">
        <v>672.5</v>
      </c>
      <c r="AI447" s="100">
        <f t="shared" si="243"/>
        <v>2693228</v>
      </c>
      <c r="AJ447" s="100">
        <f>(0*AH447)*2</f>
        <v>0</v>
      </c>
      <c r="AK447" s="100">
        <v>0</v>
      </c>
      <c r="AL447" s="100">
        <v>24140</v>
      </c>
      <c r="AM447" s="100">
        <v>0</v>
      </c>
      <c r="AN447" s="100">
        <v>0</v>
      </c>
      <c r="AO447" s="100">
        <v>0</v>
      </c>
      <c r="AP447" s="100">
        <f t="shared" si="246"/>
        <v>135869</v>
      </c>
      <c r="AQ447" s="101">
        <f t="shared" si="256"/>
        <v>2853237</v>
      </c>
      <c r="AR447" s="101">
        <v>0</v>
      </c>
      <c r="AS447" s="101">
        <v>0</v>
      </c>
      <c r="AT447" s="102" t="s">
        <v>33</v>
      </c>
      <c r="AU447" s="109">
        <v>19</v>
      </c>
      <c r="AV447" s="100">
        <f>48.72-28.22</f>
        <v>20.5</v>
      </c>
      <c r="AW447" s="105"/>
      <c r="AX447" s="216">
        <f t="shared" si="259"/>
        <v>0.53710547343188719</v>
      </c>
      <c r="AY447" s="217">
        <f t="shared" si="260"/>
        <v>14466</v>
      </c>
      <c r="AZ447" s="107"/>
      <c r="BA447" s="94">
        <v>45494.423611111109</v>
      </c>
      <c r="BB447" s="94">
        <v>45494.427083333336</v>
      </c>
      <c r="BC447" s="94">
        <v>45494.427083333336</v>
      </c>
      <c r="BD447" s="94">
        <v>45494.635416666664</v>
      </c>
      <c r="BE447" s="95">
        <f t="shared" si="261"/>
        <v>0.21180555555474712</v>
      </c>
      <c r="BF447" s="95">
        <v>4.3055555555555555E-2</v>
      </c>
      <c r="BG447" s="95">
        <v>0</v>
      </c>
      <c r="BH447" s="95">
        <f t="shared" si="262"/>
        <v>3.4722222262644209E-3</v>
      </c>
      <c r="BI447" s="95">
        <f t="shared" si="262"/>
        <v>0</v>
      </c>
      <c r="BJ447" s="95">
        <f t="shared" si="262"/>
        <v>0.20833333332848269</v>
      </c>
      <c r="BK447" s="95">
        <f t="shared" si="263"/>
        <v>0.20833333332848269</v>
      </c>
      <c r="BL447" s="95">
        <f t="shared" si="264"/>
        <v>0.16527777777292713</v>
      </c>
      <c r="BM447" s="95">
        <f t="shared" si="265"/>
        <v>3.4722222214137732E-3</v>
      </c>
      <c r="BN447" s="110"/>
    </row>
    <row r="448" spans="1:66" s="8" customFormat="1" ht="12.75" customHeight="1" x14ac:dyDescent="0.25">
      <c r="A448" s="150">
        <v>399</v>
      </c>
      <c r="B448" s="150">
        <v>70</v>
      </c>
      <c r="C448" s="90">
        <v>9</v>
      </c>
      <c r="D448" s="111" t="s">
        <v>148</v>
      </c>
      <c r="E448" s="210" t="s">
        <v>607</v>
      </c>
      <c r="F448" s="150" t="s">
        <v>16</v>
      </c>
      <c r="G448" s="111" t="s">
        <v>17</v>
      </c>
      <c r="H448" s="111" t="s">
        <v>150</v>
      </c>
      <c r="I448" s="135" t="s">
        <v>623</v>
      </c>
      <c r="J448" s="151">
        <v>45492</v>
      </c>
      <c r="K448" s="135" t="s">
        <v>117</v>
      </c>
      <c r="L448" s="135">
        <v>461000372</v>
      </c>
      <c r="M448" s="151">
        <v>45495</v>
      </c>
      <c r="N448" s="152">
        <v>45494.75</v>
      </c>
      <c r="O448" s="152">
        <v>45494.75</v>
      </c>
      <c r="P448" s="152">
        <v>45494.753472222219</v>
      </c>
      <c r="Q448" s="152">
        <v>45494.958333333336</v>
      </c>
      <c r="R448" s="152" t="s">
        <v>118</v>
      </c>
      <c r="S448" s="114" t="s">
        <v>118</v>
      </c>
      <c r="T448" s="114">
        <v>45494.979166666664</v>
      </c>
      <c r="U448" s="114">
        <v>45495.152777777781</v>
      </c>
      <c r="V448" s="165">
        <f t="shared" si="257"/>
        <v>0.20833333333575865</v>
      </c>
      <c r="W448" s="165">
        <v>0.20833333333333334</v>
      </c>
      <c r="X448" s="165">
        <f t="shared" si="258"/>
        <v>2.4253099528692701E-12</v>
      </c>
      <c r="Y448" s="96">
        <v>0</v>
      </c>
      <c r="Z448" s="96">
        <v>59</v>
      </c>
      <c r="AA448" s="96">
        <f t="shared" si="239"/>
        <v>59</v>
      </c>
      <c r="AB448" s="97">
        <f t="shared" si="240"/>
        <v>0</v>
      </c>
      <c r="AC448" s="97">
        <f t="shared" si="241"/>
        <v>4069.7100000000005</v>
      </c>
      <c r="AD448" s="98">
        <v>4069.71</v>
      </c>
      <c r="AE448" s="98">
        <v>4043.2</v>
      </c>
      <c r="AF448" s="98">
        <v>4082.2</v>
      </c>
      <c r="AG448" s="98">
        <f t="shared" si="242"/>
        <v>12.489999999999782</v>
      </c>
      <c r="AH448" s="99">
        <v>672.5</v>
      </c>
      <c r="AI448" s="100">
        <f t="shared" si="243"/>
        <v>2745279.5</v>
      </c>
      <c r="AJ448" s="100">
        <f>(0*AH448)*2</f>
        <v>0</v>
      </c>
      <c r="AK448" s="100">
        <v>0</v>
      </c>
      <c r="AL448" s="100">
        <v>24290</v>
      </c>
      <c r="AM448" s="100">
        <v>0</v>
      </c>
      <c r="AN448" s="100">
        <v>0</v>
      </c>
      <c r="AO448" s="100">
        <v>0</v>
      </c>
      <c r="AP448" s="100">
        <f t="shared" si="246"/>
        <v>138479</v>
      </c>
      <c r="AQ448" s="101">
        <f t="shared" si="256"/>
        <v>2908049</v>
      </c>
      <c r="AR448" s="101">
        <v>0</v>
      </c>
      <c r="AS448" s="101">
        <v>0</v>
      </c>
      <c r="AT448" s="102" t="s">
        <v>33</v>
      </c>
      <c r="AU448" s="109">
        <v>27</v>
      </c>
      <c r="AV448" s="100">
        <f>61.22-31.22</f>
        <v>30</v>
      </c>
      <c r="AW448" s="105"/>
      <c r="AX448" s="216">
        <f t="shared" si="259"/>
        <v>0.30596247121649556</v>
      </c>
      <c r="AY448" s="217">
        <f t="shared" si="260"/>
        <v>8400</v>
      </c>
      <c r="AZ448" s="107"/>
      <c r="BA448" s="94">
        <v>45494.729166666664</v>
      </c>
      <c r="BB448" s="94">
        <v>45494.732638888891</v>
      </c>
      <c r="BC448" s="94">
        <v>45494.732638888891</v>
      </c>
      <c r="BD448" s="94">
        <v>45494.964583333334</v>
      </c>
      <c r="BE448" s="95">
        <f t="shared" si="261"/>
        <v>0.23541666667006211</v>
      </c>
      <c r="BF448" s="95">
        <v>6.3888888888888884E-2</v>
      </c>
      <c r="BG448" s="95">
        <v>0</v>
      </c>
      <c r="BH448" s="95">
        <f t="shared" si="262"/>
        <v>3.4722222262644209E-3</v>
      </c>
      <c r="BI448" s="95">
        <f t="shared" si="262"/>
        <v>0</v>
      </c>
      <c r="BJ448" s="95">
        <f t="shared" si="262"/>
        <v>0.23194444444379769</v>
      </c>
      <c r="BK448" s="95">
        <f t="shared" si="263"/>
        <v>0.23194444444379769</v>
      </c>
      <c r="BL448" s="95">
        <f t="shared" si="264"/>
        <v>0.16805555555490881</v>
      </c>
      <c r="BM448" s="95">
        <f t="shared" si="265"/>
        <v>2.7083333336728771E-2</v>
      </c>
      <c r="BN448" s="110"/>
    </row>
    <row r="449" spans="1:66" s="8" customFormat="1" ht="12.75" customHeight="1" x14ac:dyDescent="0.25">
      <c r="A449" s="150">
        <v>400</v>
      </c>
      <c r="B449" s="150">
        <v>71</v>
      </c>
      <c r="C449" s="90">
        <v>10</v>
      </c>
      <c r="D449" s="111" t="s">
        <v>148</v>
      </c>
      <c r="E449" s="210" t="s">
        <v>607</v>
      </c>
      <c r="F449" s="150" t="s">
        <v>16</v>
      </c>
      <c r="G449" s="111" t="s">
        <v>17</v>
      </c>
      <c r="H449" s="111" t="s">
        <v>150</v>
      </c>
      <c r="I449" s="135" t="s">
        <v>624</v>
      </c>
      <c r="J449" s="151">
        <v>45495</v>
      </c>
      <c r="K449" s="135" t="s">
        <v>122</v>
      </c>
      <c r="L449" s="135">
        <v>461000373</v>
      </c>
      <c r="M449" s="151">
        <v>45496</v>
      </c>
      <c r="N449" s="152">
        <v>45495.65625</v>
      </c>
      <c r="O449" s="152">
        <v>45495.65625</v>
      </c>
      <c r="P449" s="152">
        <v>45495.659722222219</v>
      </c>
      <c r="Q449" s="152">
        <v>45495.854166666664</v>
      </c>
      <c r="R449" s="152" t="s">
        <v>118</v>
      </c>
      <c r="S449" s="114" t="s">
        <v>118</v>
      </c>
      <c r="T449" s="114">
        <v>45495.895833333336</v>
      </c>
      <c r="U449" s="114">
        <v>45496.003472222219</v>
      </c>
      <c r="V449" s="165">
        <f t="shared" si="257"/>
        <v>0.19791666666424135</v>
      </c>
      <c r="W449" s="165">
        <v>0.20833333333333334</v>
      </c>
      <c r="X449" s="165" t="str">
        <f t="shared" si="258"/>
        <v>00:00</v>
      </c>
      <c r="Y449" s="96">
        <v>0</v>
      </c>
      <c r="Z449" s="96">
        <v>59</v>
      </c>
      <c r="AA449" s="96">
        <f t="shared" si="239"/>
        <v>59</v>
      </c>
      <c r="AB449" s="97">
        <f t="shared" si="240"/>
        <v>0</v>
      </c>
      <c r="AC449" s="97">
        <f t="shared" si="241"/>
        <v>3854.06</v>
      </c>
      <c r="AD449" s="98">
        <v>3854.06</v>
      </c>
      <c r="AE449" s="98">
        <v>4031.4</v>
      </c>
      <c r="AF449" s="98">
        <v>4034.8</v>
      </c>
      <c r="AG449" s="98">
        <f t="shared" si="242"/>
        <v>180.74000000000024</v>
      </c>
      <c r="AH449" s="99">
        <v>672.5</v>
      </c>
      <c r="AI449" s="100">
        <f t="shared" si="243"/>
        <v>2713403</v>
      </c>
      <c r="AJ449" s="100">
        <f>(0.2*AH449)*2</f>
        <v>269</v>
      </c>
      <c r="AK449" s="100">
        <v>0</v>
      </c>
      <c r="AL449" s="100">
        <v>0</v>
      </c>
      <c r="AM449" s="100">
        <v>0</v>
      </c>
      <c r="AN449" s="100">
        <v>0</v>
      </c>
      <c r="AO449" s="100">
        <v>0</v>
      </c>
      <c r="AP449" s="100">
        <f t="shared" si="246"/>
        <v>135684</v>
      </c>
      <c r="AQ449" s="101">
        <f t="shared" si="256"/>
        <v>2849356</v>
      </c>
      <c r="AR449" s="101">
        <v>0</v>
      </c>
      <c r="AS449" s="101">
        <v>0</v>
      </c>
      <c r="AT449" s="102" t="s">
        <v>33</v>
      </c>
      <c r="AU449" s="109" t="s">
        <v>118</v>
      </c>
      <c r="AV449" s="100">
        <v>0</v>
      </c>
      <c r="AW449" s="105"/>
      <c r="AX449" s="216">
        <f t="shared" si="259"/>
        <v>4.4795281054823093</v>
      </c>
      <c r="AY449" s="217">
        <f t="shared" si="260"/>
        <v>121548</v>
      </c>
      <c r="AZ449" s="107"/>
      <c r="BA449" s="94">
        <v>45495.618055555555</v>
      </c>
      <c r="BB449" s="94">
        <v>45495.621527777781</v>
      </c>
      <c r="BC449" s="94">
        <v>45495.621527777781</v>
      </c>
      <c r="BD449" s="94">
        <v>45495.841666666667</v>
      </c>
      <c r="BE449" s="95">
        <f t="shared" si="261"/>
        <v>0.22361111111240461</v>
      </c>
      <c r="BF449" s="95">
        <v>2.6388888888888889E-2</v>
      </c>
      <c r="BG449" s="95">
        <v>3.4722222222222224E-2</v>
      </c>
      <c r="BH449" s="95">
        <f t="shared" si="262"/>
        <v>3.4722222262644209E-3</v>
      </c>
      <c r="BI449" s="95">
        <f t="shared" si="262"/>
        <v>0</v>
      </c>
      <c r="BJ449" s="95">
        <f t="shared" si="262"/>
        <v>0.22013888888614019</v>
      </c>
      <c r="BK449" s="95">
        <f t="shared" si="263"/>
        <v>0.22013888888614019</v>
      </c>
      <c r="BL449" s="95">
        <f t="shared" si="264"/>
        <v>0.15902777777502908</v>
      </c>
      <c r="BM449" s="95">
        <f t="shared" si="265"/>
        <v>1.5277777779071272E-2</v>
      </c>
      <c r="BN449" s="110"/>
    </row>
    <row r="450" spans="1:66" s="8" customFormat="1" ht="12.75" customHeight="1" x14ac:dyDescent="0.25">
      <c r="A450" s="150">
        <v>401</v>
      </c>
      <c r="B450" s="150">
        <v>72</v>
      </c>
      <c r="C450" s="90">
        <v>11</v>
      </c>
      <c r="D450" s="111" t="s">
        <v>148</v>
      </c>
      <c r="E450" s="210" t="s">
        <v>607</v>
      </c>
      <c r="F450" s="150" t="s">
        <v>16</v>
      </c>
      <c r="G450" s="111" t="s">
        <v>17</v>
      </c>
      <c r="H450" s="111" t="s">
        <v>150</v>
      </c>
      <c r="I450" s="135" t="s">
        <v>625</v>
      </c>
      <c r="J450" s="151">
        <v>45495</v>
      </c>
      <c r="K450" s="135" t="s">
        <v>117</v>
      </c>
      <c r="L450" s="135">
        <v>461000374</v>
      </c>
      <c r="M450" s="151">
        <v>45496</v>
      </c>
      <c r="N450" s="152">
        <v>45495.878472222219</v>
      </c>
      <c r="O450" s="152">
        <v>45495.878472222219</v>
      </c>
      <c r="P450" s="152">
        <v>45495.881944444445</v>
      </c>
      <c r="Q450" s="152">
        <v>45496.0625</v>
      </c>
      <c r="R450" s="152" t="s">
        <v>118</v>
      </c>
      <c r="S450" s="114" t="s">
        <v>118</v>
      </c>
      <c r="T450" s="114">
        <v>45496.083333333336</v>
      </c>
      <c r="U450" s="114">
        <v>45496.220833333333</v>
      </c>
      <c r="V450" s="165">
        <f t="shared" si="257"/>
        <v>0.18402777778101154</v>
      </c>
      <c r="W450" s="165">
        <v>0.20833333333333334</v>
      </c>
      <c r="X450" s="165" t="str">
        <f t="shared" si="258"/>
        <v>00:00</v>
      </c>
      <c r="Y450" s="96">
        <v>0</v>
      </c>
      <c r="Z450" s="96">
        <v>59</v>
      </c>
      <c r="AA450" s="96">
        <f t="shared" si="239"/>
        <v>59</v>
      </c>
      <c r="AB450" s="97">
        <f t="shared" si="240"/>
        <v>0</v>
      </c>
      <c r="AC450" s="97">
        <f t="shared" si="241"/>
        <v>3832.3900000000003</v>
      </c>
      <c r="AD450" s="98">
        <v>3832.39</v>
      </c>
      <c r="AE450" s="98">
        <v>4034.6</v>
      </c>
      <c r="AF450" s="98">
        <v>4035.2</v>
      </c>
      <c r="AG450" s="98">
        <f t="shared" si="242"/>
        <v>202.80999999999995</v>
      </c>
      <c r="AH450" s="99">
        <v>672.5</v>
      </c>
      <c r="AI450" s="100">
        <f t="shared" si="243"/>
        <v>2713672</v>
      </c>
      <c r="AJ450" s="100">
        <f>(0*AH450)*2</f>
        <v>0</v>
      </c>
      <c r="AK450" s="100">
        <v>0</v>
      </c>
      <c r="AL450" s="100">
        <v>0</v>
      </c>
      <c r="AM450" s="100">
        <v>0</v>
      </c>
      <c r="AN450" s="100">
        <v>0</v>
      </c>
      <c r="AO450" s="100">
        <v>0</v>
      </c>
      <c r="AP450" s="100">
        <f t="shared" si="246"/>
        <v>135684</v>
      </c>
      <c r="AQ450" s="101">
        <f t="shared" si="256"/>
        <v>2849356</v>
      </c>
      <c r="AR450" s="101">
        <v>0</v>
      </c>
      <c r="AS450" s="101">
        <v>0</v>
      </c>
      <c r="AT450" s="102" t="s">
        <v>33</v>
      </c>
      <c r="AU450" s="109" t="s">
        <v>118</v>
      </c>
      <c r="AV450" s="100">
        <v>0</v>
      </c>
      <c r="AW450" s="105"/>
      <c r="AX450" s="216">
        <f t="shared" si="259"/>
        <v>5.0260210150674052</v>
      </c>
      <c r="AY450" s="217">
        <f t="shared" si="260"/>
        <v>136390</v>
      </c>
      <c r="AZ450" s="107"/>
      <c r="BA450" s="94">
        <v>45495.878472222219</v>
      </c>
      <c r="BB450" s="94">
        <v>45495.881944444445</v>
      </c>
      <c r="BC450" s="94">
        <v>45495.881944444445</v>
      </c>
      <c r="BD450" s="94">
        <v>45496.054166666669</v>
      </c>
      <c r="BE450" s="95">
        <f t="shared" si="261"/>
        <v>0.17569444444961846</v>
      </c>
      <c r="BF450" s="95">
        <v>4.0972222222222222E-2</v>
      </c>
      <c r="BG450" s="95">
        <v>0</v>
      </c>
      <c r="BH450" s="95">
        <f t="shared" si="262"/>
        <v>3.4722222262644209E-3</v>
      </c>
      <c r="BI450" s="95">
        <f t="shared" si="262"/>
        <v>0</v>
      </c>
      <c r="BJ450" s="95">
        <f t="shared" si="262"/>
        <v>0.17222222222335404</v>
      </c>
      <c r="BK450" s="95">
        <f t="shared" si="263"/>
        <v>0.17222222222335404</v>
      </c>
      <c r="BL450" s="95">
        <f t="shared" si="264"/>
        <v>0.13125000000113182</v>
      </c>
      <c r="BM450" s="95" t="str">
        <f t="shared" si="265"/>
        <v>00:00</v>
      </c>
      <c r="BN450" s="110"/>
    </row>
    <row r="451" spans="1:66" s="8" customFormat="1" ht="12.75" customHeight="1" x14ac:dyDescent="0.25">
      <c r="A451" s="150">
        <v>402</v>
      </c>
      <c r="B451" s="150">
        <v>73</v>
      </c>
      <c r="C451" s="90">
        <v>12</v>
      </c>
      <c r="D451" s="111" t="s">
        <v>148</v>
      </c>
      <c r="E451" s="210" t="s">
        <v>607</v>
      </c>
      <c r="F451" s="150" t="s">
        <v>16</v>
      </c>
      <c r="G451" s="111" t="s">
        <v>17</v>
      </c>
      <c r="H451" s="111" t="s">
        <v>150</v>
      </c>
      <c r="I451" s="135" t="s">
        <v>626</v>
      </c>
      <c r="J451" s="151">
        <v>45496</v>
      </c>
      <c r="K451" s="135" t="s">
        <v>122</v>
      </c>
      <c r="L451" s="135">
        <v>461000375</v>
      </c>
      <c r="M451" s="151">
        <v>45496</v>
      </c>
      <c r="N451" s="152">
        <v>45496.434027777781</v>
      </c>
      <c r="O451" s="152">
        <v>45496.434027777781</v>
      </c>
      <c r="P451" s="152">
        <v>45496.4375</v>
      </c>
      <c r="Q451" s="152">
        <v>45496.642361111109</v>
      </c>
      <c r="R451" s="152" t="s">
        <v>118</v>
      </c>
      <c r="S451" s="114" t="s">
        <v>118</v>
      </c>
      <c r="T451" s="114">
        <v>45496.666666666664</v>
      </c>
      <c r="U451" s="114">
        <v>45496.840277777781</v>
      </c>
      <c r="V451" s="165">
        <f t="shared" si="257"/>
        <v>0.20833333332848269</v>
      </c>
      <c r="W451" s="165">
        <v>0.20833333333333334</v>
      </c>
      <c r="X451" s="165" t="str">
        <f t="shared" si="258"/>
        <v>00:00</v>
      </c>
      <c r="Y451" s="96">
        <v>3</v>
      </c>
      <c r="Z451" s="96">
        <v>55</v>
      </c>
      <c r="AA451" s="96">
        <f t="shared" si="239"/>
        <v>58</v>
      </c>
      <c r="AB451" s="97">
        <f t="shared" si="240"/>
        <v>203.57793103448279</v>
      </c>
      <c r="AC451" s="97">
        <f t="shared" si="241"/>
        <v>3732.2620689655173</v>
      </c>
      <c r="AD451" s="98">
        <v>3935.84</v>
      </c>
      <c r="AE451" s="98">
        <v>3974.4</v>
      </c>
      <c r="AF451" s="98">
        <v>3995.8</v>
      </c>
      <c r="AG451" s="98">
        <f t="shared" si="242"/>
        <v>59.960000000000036</v>
      </c>
      <c r="AH451" s="99">
        <v>672.5</v>
      </c>
      <c r="AI451" s="100">
        <f t="shared" si="243"/>
        <v>2687175.5</v>
      </c>
      <c r="AJ451" s="100">
        <f>(0*AH451)*2</f>
        <v>0</v>
      </c>
      <c r="AK451" s="100">
        <v>0</v>
      </c>
      <c r="AL451" s="100">
        <v>24140</v>
      </c>
      <c r="AM451" s="100">
        <v>0</v>
      </c>
      <c r="AN451" s="100">
        <v>0</v>
      </c>
      <c r="AO451" s="100">
        <v>0</v>
      </c>
      <c r="AP451" s="100">
        <f t="shared" si="246"/>
        <v>135566</v>
      </c>
      <c r="AQ451" s="101">
        <f t="shared" si="256"/>
        <v>2846882</v>
      </c>
      <c r="AR451" s="101">
        <v>0</v>
      </c>
      <c r="AS451" s="101">
        <v>0</v>
      </c>
      <c r="AT451" s="102" t="s">
        <v>33</v>
      </c>
      <c r="AU451" s="109">
        <v>13</v>
      </c>
      <c r="AV451" s="100">
        <f>45.77-18.77</f>
        <v>27.000000000000004</v>
      </c>
      <c r="AW451" s="105"/>
      <c r="AX451" s="216">
        <f t="shared" si="259"/>
        <v>1.5005756043846046</v>
      </c>
      <c r="AY451" s="217">
        <f t="shared" si="260"/>
        <v>40324</v>
      </c>
      <c r="AZ451" s="107"/>
      <c r="BA451" s="94">
        <v>45496.434027777781</v>
      </c>
      <c r="BB451" s="94">
        <v>45496.4375</v>
      </c>
      <c r="BC451" s="94">
        <v>45496.4375</v>
      </c>
      <c r="BD451" s="94">
        <v>45496.637499999997</v>
      </c>
      <c r="BE451" s="95">
        <f t="shared" si="261"/>
        <v>0.20347222221607808</v>
      </c>
      <c r="BF451" s="95">
        <v>2.7083333333333334E-2</v>
      </c>
      <c r="BG451" s="95">
        <v>6.9444444444444441E-3</v>
      </c>
      <c r="BH451" s="95">
        <f t="shared" si="262"/>
        <v>3.4722222189884633E-3</v>
      </c>
      <c r="BI451" s="95">
        <f t="shared" si="262"/>
        <v>0</v>
      </c>
      <c r="BJ451" s="95">
        <f t="shared" si="262"/>
        <v>0.19999999999708962</v>
      </c>
      <c r="BK451" s="95">
        <f t="shared" si="263"/>
        <v>0.19999999999708962</v>
      </c>
      <c r="BL451" s="95">
        <f t="shared" si="264"/>
        <v>0.16597222221931182</v>
      </c>
      <c r="BM451" s="95" t="str">
        <f t="shared" si="265"/>
        <v>00:00</v>
      </c>
      <c r="BN451" s="110"/>
    </row>
    <row r="452" spans="1:66" s="8" customFormat="1" ht="12.75" customHeight="1" x14ac:dyDescent="0.25">
      <c r="A452" s="150">
        <v>403</v>
      </c>
      <c r="B452" s="150">
        <v>74</v>
      </c>
      <c r="C452" s="90">
        <v>13</v>
      </c>
      <c r="D452" s="111" t="s">
        <v>148</v>
      </c>
      <c r="E452" s="210" t="s">
        <v>607</v>
      </c>
      <c r="F452" s="150" t="s">
        <v>16</v>
      </c>
      <c r="G452" s="111" t="s">
        <v>17</v>
      </c>
      <c r="H452" s="111" t="s">
        <v>150</v>
      </c>
      <c r="I452" s="135" t="s">
        <v>627</v>
      </c>
      <c r="J452" s="151">
        <v>45496</v>
      </c>
      <c r="K452" s="135" t="s">
        <v>117</v>
      </c>
      <c r="L452" s="135">
        <v>461000376</v>
      </c>
      <c r="M452" s="151">
        <v>45497</v>
      </c>
      <c r="N452" s="152">
        <v>45496.78125</v>
      </c>
      <c r="O452" s="152">
        <v>45496.78125</v>
      </c>
      <c r="P452" s="152">
        <v>45496.784722222219</v>
      </c>
      <c r="Q452" s="152">
        <v>45496.989583333336</v>
      </c>
      <c r="R452" s="152" t="s">
        <v>118</v>
      </c>
      <c r="S452" s="114" t="s">
        <v>118</v>
      </c>
      <c r="T452" s="114">
        <v>45497.020833333336</v>
      </c>
      <c r="U452" s="114">
        <v>45497.137499999997</v>
      </c>
      <c r="V452" s="165">
        <f t="shared" si="257"/>
        <v>0.20833333333575865</v>
      </c>
      <c r="W452" s="165">
        <v>0.20833333333333334</v>
      </c>
      <c r="X452" s="165">
        <f t="shared" si="258"/>
        <v>2.4253099528692701E-12</v>
      </c>
      <c r="Y452" s="96">
        <v>2</v>
      </c>
      <c r="Z452" s="96">
        <v>56</v>
      </c>
      <c r="AA452" s="96">
        <f t="shared" si="239"/>
        <v>58</v>
      </c>
      <c r="AB452" s="97">
        <f t="shared" si="240"/>
        <v>136.17034482758621</v>
      </c>
      <c r="AC452" s="97">
        <f t="shared" si="241"/>
        <v>3812.7696551724139</v>
      </c>
      <c r="AD452" s="98">
        <v>3948.94</v>
      </c>
      <c r="AE452" s="98">
        <v>3961.5</v>
      </c>
      <c r="AF452" s="98">
        <v>3979.2</v>
      </c>
      <c r="AG452" s="98">
        <f t="shared" si="242"/>
        <v>30.259999999999764</v>
      </c>
      <c r="AH452" s="99">
        <v>672.5</v>
      </c>
      <c r="AI452" s="100">
        <f t="shared" si="243"/>
        <v>2676012</v>
      </c>
      <c r="AJ452" s="100">
        <f>(4.8*AH452)*2</f>
        <v>6456</v>
      </c>
      <c r="AK452" s="100">
        <v>0</v>
      </c>
      <c r="AL452" s="100">
        <v>0</v>
      </c>
      <c r="AM452" s="100">
        <v>0</v>
      </c>
      <c r="AN452" s="100">
        <v>0</v>
      </c>
      <c r="AO452" s="100">
        <v>0</v>
      </c>
      <c r="AP452" s="100">
        <f t="shared" si="246"/>
        <v>134124</v>
      </c>
      <c r="AQ452" s="101">
        <f t="shared" si="256"/>
        <v>2816592</v>
      </c>
      <c r="AR452" s="101">
        <v>0</v>
      </c>
      <c r="AS452" s="101">
        <v>0</v>
      </c>
      <c r="AT452" s="102" t="s">
        <v>33</v>
      </c>
      <c r="AU452" s="109" t="s">
        <v>118</v>
      </c>
      <c r="AV452" s="100">
        <v>0</v>
      </c>
      <c r="AW452" s="105"/>
      <c r="AX452" s="216">
        <f t="shared" si="259"/>
        <v>0.76045436268596112</v>
      </c>
      <c r="AY452" s="217">
        <f t="shared" si="260"/>
        <v>20350</v>
      </c>
      <c r="AZ452" s="107"/>
      <c r="BA452" s="94">
        <v>45496.78125</v>
      </c>
      <c r="BB452" s="94">
        <v>45496.784722222219</v>
      </c>
      <c r="BC452" s="94">
        <v>45496.784722222219</v>
      </c>
      <c r="BD452" s="94">
        <v>45496.973611111112</v>
      </c>
      <c r="BE452" s="95">
        <f t="shared" si="261"/>
        <v>0.19236111111240461</v>
      </c>
      <c r="BF452" s="95">
        <v>3.7499999999999999E-2</v>
      </c>
      <c r="BG452" s="95">
        <v>2.7777777777777779E-3</v>
      </c>
      <c r="BH452" s="95">
        <f t="shared" si="262"/>
        <v>3.4722222189884633E-3</v>
      </c>
      <c r="BI452" s="95">
        <f t="shared" si="262"/>
        <v>0</v>
      </c>
      <c r="BJ452" s="95">
        <f t="shared" si="262"/>
        <v>0.18888888889341615</v>
      </c>
      <c r="BK452" s="95">
        <f t="shared" si="263"/>
        <v>0.18888888889341615</v>
      </c>
      <c r="BL452" s="95">
        <f t="shared" si="264"/>
        <v>0.14861111111563838</v>
      </c>
      <c r="BM452" s="95" t="str">
        <f t="shared" si="265"/>
        <v>00:00</v>
      </c>
      <c r="BN452" s="110"/>
    </row>
    <row r="453" spans="1:66" s="8" customFormat="1" ht="12.75" customHeight="1" x14ac:dyDescent="0.25">
      <c r="A453" s="150">
        <v>404</v>
      </c>
      <c r="B453" s="150">
        <v>75</v>
      </c>
      <c r="C453" s="90">
        <v>8</v>
      </c>
      <c r="D453" s="111" t="s">
        <v>113</v>
      </c>
      <c r="E453" s="210" t="s">
        <v>530</v>
      </c>
      <c r="F453" s="150" t="s">
        <v>29</v>
      </c>
      <c r="G453" s="111" t="s">
        <v>15</v>
      </c>
      <c r="H453" s="111" t="s">
        <v>124</v>
      </c>
      <c r="I453" s="135" t="s">
        <v>628</v>
      </c>
      <c r="J453" s="151">
        <v>45497</v>
      </c>
      <c r="K453" s="135" t="s">
        <v>122</v>
      </c>
      <c r="L453" s="135">
        <v>261005864</v>
      </c>
      <c r="M453" s="151">
        <v>45497</v>
      </c>
      <c r="N453" s="152">
        <v>45497.378472222219</v>
      </c>
      <c r="O453" s="152">
        <v>45497.378472222219</v>
      </c>
      <c r="P453" s="152">
        <v>45497.385416666664</v>
      </c>
      <c r="Q453" s="152">
        <v>45497.583333333336</v>
      </c>
      <c r="R453" s="152" t="s">
        <v>118</v>
      </c>
      <c r="S453" s="114">
        <v>45497.652777777781</v>
      </c>
      <c r="T453" s="114">
        <v>45497.666666666664</v>
      </c>
      <c r="U453" s="114">
        <v>45497.758333333331</v>
      </c>
      <c r="V453" s="165">
        <f t="shared" si="257"/>
        <v>0.20486111111677019</v>
      </c>
      <c r="W453" s="165">
        <v>0.20833333333333334</v>
      </c>
      <c r="X453" s="165" t="str">
        <f t="shared" si="258"/>
        <v>00:00</v>
      </c>
      <c r="Y453" s="96">
        <v>1</v>
      </c>
      <c r="Z453" s="96">
        <v>58</v>
      </c>
      <c r="AA453" s="96">
        <f t="shared" si="239"/>
        <v>59</v>
      </c>
      <c r="AB453" s="97">
        <f t="shared" si="240"/>
        <v>66.902881355932209</v>
      </c>
      <c r="AC453" s="97">
        <f t="shared" si="241"/>
        <v>3880.3671186440679</v>
      </c>
      <c r="AD453" s="98">
        <v>3947.27</v>
      </c>
      <c r="AE453" s="98">
        <v>4040.2</v>
      </c>
      <c r="AF453" s="98">
        <v>4045.8</v>
      </c>
      <c r="AG453" s="98">
        <f t="shared" si="242"/>
        <v>98.5300000000002</v>
      </c>
      <c r="AH453" s="99">
        <v>797.2</v>
      </c>
      <c r="AI453" s="100">
        <f t="shared" si="243"/>
        <v>3225311.7600000002</v>
      </c>
      <c r="AJ453" s="100">
        <f>(0.6*AH453)*2</f>
        <v>956.64</v>
      </c>
      <c r="AK453" s="100">
        <v>0</v>
      </c>
      <c r="AL453" s="100">
        <v>0</v>
      </c>
      <c r="AM453" s="100">
        <v>0</v>
      </c>
      <c r="AN453" s="100">
        <v>0</v>
      </c>
      <c r="AO453" s="100">
        <v>0</v>
      </c>
      <c r="AP453" s="100">
        <f t="shared" si="246"/>
        <v>161314</v>
      </c>
      <c r="AQ453" s="101">
        <f t="shared" si="256"/>
        <v>3387583</v>
      </c>
      <c r="AR453" s="101">
        <v>0</v>
      </c>
      <c r="AS453" s="101">
        <v>0</v>
      </c>
      <c r="AT453" s="102" t="s">
        <v>33</v>
      </c>
      <c r="AU453" s="109" t="s">
        <v>118</v>
      </c>
      <c r="AV453" s="100">
        <v>0</v>
      </c>
      <c r="AW453" s="105"/>
      <c r="AX453" s="216">
        <f t="shared" si="259"/>
        <v>2.4353650699490879</v>
      </c>
      <c r="AY453" s="217">
        <f t="shared" si="260"/>
        <v>78549</v>
      </c>
      <c r="AZ453" s="107"/>
      <c r="BA453" s="94">
        <v>45497.378472222219</v>
      </c>
      <c r="BB453" s="94">
        <v>45497.385416666664</v>
      </c>
      <c r="BC453" s="94">
        <v>45497.392361111109</v>
      </c>
      <c r="BD453" s="94">
        <v>45497.636805555558</v>
      </c>
      <c r="BE453" s="95">
        <f t="shared" si="261"/>
        <v>0.25833333333866904</v>
      </c>
      <c r="BF453" s="95">
        <v>7.2222222222222215E-2</v>
      </c>
      <c r="BG453" s="95">
        <v>6.805555555555555E-2</v>
      </c>
      <c r="BH453" s="95">
        <f t="shared" si="262"/>
        <v>6.9444444452528842E-3</v>
      </c>
      <c r="BI453" s="95">
        <f t="shared" si="262"/>
        <v>6.9444444452528842E-3</v>
      </c>
      <c r="BJ453" s="95">
        <f t="shared" si="262"/>
        <v>0.24444444444816327</v>
      </c>
      <c r="BK453" s="95">
        <f t="shared" si="263"/>
        <v>0.25138888889341615</v>
      </c>
      <c r="BL453" s="95">
        <f t="shared" si="264"/>
        <v>0.11111111111563839</v>
      </c>
      <c r="BM453" s="95">
        <f t="shared" si="265"/>
        <v>5.0000000005335693E-2</v>
      </c>
      <c r="BN453" s="110"/>
    </row>
    <row r="454" spans="1:66" s="8" customFormat="1" ht="12.75" customHeight="1" x14ac:dyDescent="0.25">
      <c r="A454" s="153">
        <v>405</v>
      </c>
      <c r="B454" s="150">
        <v>76</v>
      </c>
      <c r="C454" s="90">
        <v>14</v>
      </c>
      <c r="D454" s="111" t="s">
        <v>148</v>
      </c>
      <c r="E454" s="210" t="s">
        <v>607</v>
      </c>
      <c r="F454" s="150" t="s">
        <v>16</v>
      </c>
      <c r="G454" s="111" t="s">
        <v>17</v>
      </c>
      <c r="H454" s="111" t="s">
        <v>150</v>
      </c>
      <c r="I454" s="111" t="s">
        <v>629</v>
      </c>
      <c r="J454" s="151">
        <v>45497</v>
      </c>
      <c r="K454" s="135" t="s">
        <v>117</v>
      </c>
      <c r="L454" s="135">
        <v>461000377</v>
      </c>
      <c r="M454" s="151">
        <v>45863</v>
      </c>
      <c r="N454" s="152">
        <v>45497.729166666664</v>
      </c>
      <c r="O454" s="152">
        <v>45497.729166666664</v>
      </c>
      <c r="P454" s="152">
        <v>45497.732638888891</v>
      </c>
      <c r="Q454" s="152">
        <v>45497.916666666664</v>
      </c>
      <c r="R454" s="152" t="s">
        <v>118</v>
      </c>
      <c r="S454" s="114" t="s">
        <v>118</v>
      </c>
      <c r="T454" s="114">
        <v>45498.041666666664</v>
      </c>
      <c r="U454" s="114">
        <v>45498.166666666664</v>
      </c>
      <c r="V454" s="165">
        <f t="shared" si="257"/>
        <v>0.1875</v>
      </c>
      <c r="W454" s="165">
        <v>0.20833333333333334</v>
      </c>
      <c r="X454" s="165" t="str">
        <f t="shared" si="258"/>
        <v>00:00</v>
      </c>
      <c r="Y454" s="96">
        <v>5</v>
      </c>
      <c r="Z454" s="96">
        <v>52</v>
      </c>
      <c r="AA454" s="96">
        <f t="shared" si="239"/>
        <v>57</v>
      </c>
      <c r="AB454" s="97">
        <f t="shared" si="240"/>
        <v>342.93596491228067</v>
      </c>
      <c r="AC454" s="97">
        <f t="shared" si="241"/>
        <v>3566.5340350877186</v>
      </c>
      <c r="AD454" s="98">
        <v>3909.47</v>
      </c>
      <c r="AE454" s="98">
        <v>3894.5</v>
      </c>
      <c r="AF454" s="98">
        <v>3925.4</v>
      </c>
      <c r="AG454" s="98">
        <f t="shared" si="242"/>
        <v>15.930000000000291</v>
      </c>
      <c r="AH454" s="99">
        <v>672.5</v>
      </c>
      <c r="AI454" s="100">
        <f t="shared" si="243"/>
        <v>2639831.5</v>
      </c>
      <c r="AJ454" s="100">
        <f t="shared" ref="AJ454:AJ462" si="266">(0*AH454)*2</f>
        <v>0</v>
      </c>
      <c r="AK454" s="100">
        <v>0</v>
      </c>
      <c r="AL454" s="100">
        <v>23990</v>
      </c>
      <c r="AM454" s="100">
        <v>0</v>
      </c>
      <c r="AN454" s="100">
        <v>0</v>
      </c>
      <c r="AO454" s="100">
        <v>0</v>
      </c>
      <c r="AP454" s="100">
        <f t="shared" si="246"/>
        <v>133192</v>
      </c>
      <c r="AQ454" s="101">
        <f t="shared" si="256"/>
        <v>2797014</v>
      </c>
      <c r="AR454" s="101">
        <v>0</v>
      </c>
      <c r="AS454" s="101">
        <v>0</v>
      </c>
      <c r="AT454" s="102" t="s">
        <v>33</v>
      </c>
      <c r="AU454" s="109">
        <v>23</v>
      </c>
      <c r="AV454" s="100">
        <f>55.7-26.7</f>
        <v>29.000000000000004</v>
      </c>
      <c r="AW454" s="105"/>
      <c r="AX454" s="216">
        <f t="shared" si="259"/>
        <v>0.40581851531054897</v>
      </c>
      <c r="AY454" s="217">
        <f t="shared" si="260"/>
        <v>10713</v>
      </c>
      <c r="AZ454" s="107"/>
      <c r="BA454" s="94">
        <v>45497.729166666664</v>
      </c>
      <c r="BB454" s="94">
        <v>45497.732638888891</v>
      </c>
      <c r="BC454" s="94">
        <v>45497.754861111112</v>
      </c>
      <c r="BD454" s="94">
        <v>45497.893055555556</v>
      </c>
      <c r="BE454" s="95">
        <f t="shared" si="261"/>
        <v>0.16388888889196096</v>
      </c>
      <c r="BF454" s="95">
        <v>7.6388888888888886E-3</v>
      </c>
      <c r="BG454" s="95">
        <v>2.4305555555555556E-2</v>
      </c>
      <c r="BH454" s="95">
        <f t="shared" si="262"/>
        <v>3.4722222262644209E-3</v>
      </c>
      <c r="BI454" s="95">
        <f t="shared" si="262"/>
        <v>2.2222222221898846E-2</v>
      </c>
      <c r="BJ454" s="95">
        <f t="shared" si="262"/>
        <v>0.13819444444379769</v>
      </c>
      <c r="BK454" s="95">
        <f t="shared" si="263"/>
        <v>0.16041666666569654</v>
      </c>
      <c r="BL454" s="95">
        <f t="shared" si="264"/>
        <v>0.1284722222212521</v>
      </c>
      <c r="BM454" s="95" t="str">
        <f t="shared" si="265"/>
        <v>00:00</v>
      </c>
      <c r="BN454" s="110"/>
    </row>
    <row r="455" spans="1:66" s="8" customFormat="1" ht="12.75" customHeight="1" x14ac:dyDescent="0.25">
      <c r="A455" s="115">
        <v>406</v>
      </c>
      <c r="B455" s="115">
        <v>77</v>
      </c>
      <c r="C455" s="90">
        <v>15</v>
      </c>
      <c r="D455" s="115" t="s">
        <v>148</v>
      </c>
      <c r="E455" s="210" t="s">
        <v>607</v>
      </c>
      <c r="F455" s="115" t="s">
        <v>16</v>
      </c>
      <c r="G455" s="115" t="s">
        <v>17</v>
      </c>
      <c r="H455" s="115" t="s">
        <v>150</v>
      </c>
      <c r="I455" s="218" t="s">
        <v>630</v>
      </c>
      <c r="J455" s="117">
        <v>45497</v>
      </c>
      <c r="K455" s="116" t="s">
        <v>122</v>
      </c>
      <c r="L455" s="116">
        <v>461000378</v>
      </c>
      <c r="M455" s="117">
        <v>45498</v>
      </c>
      <c r="N455" s="118">
        <v>45498.118055555555</v>
      </c>
      <c r="O455" s="118">
        <v>45498.104166666664</v>
      </c>
      <c r="P455" s="118">
        <v>45498.125</v>
      </c>
      <c r="Q455" s="118">
        <v>45498.3125</v>
      </c>
      <c r="R455" s="118">
        <v>45498.118055555555</v>
      </c>
      <c r="S455" s="118" t="s">
        <v>118</v>
      </c>
      <c r="T455" s="118">
        <v>45498.354166666664</v>
      </c>
      <c r="U455" s="118">
        <v>45498.5</v>
      </c>
      <c r="V455" s="119">
        <f t="shared" si="257"/>
        <v>0.20833333333575865</v>
      </c>
      <c r="W455" s="119">
        <v>0.20833333333333334</v>
      </c>
      <c r="X455" s="119">
        <f t="shared" si="258"/>
        <v>2.4253099528692701E-12</v>
      </c>
      <c r="Y455" s="96">
        <v>1</v>
      </c>
      <c r="Z455" s="96">
        <v>33</v>
      </c>
      <c r="AA455" s="96">
        <f t="shared" si="239"/>
        <v>34</v>
      </c>
      <c r="AB455" s="97">
        <f t="shared" si="240"/>
        <v>69.544705882352943</v>
      </c>
      <c r="AC455" s="97">
        <f t="shared" si="241"/>
        <v>2294.9752941176471</v>
      </c>
      <c r="AD455" s="98">
        <f>3984.33-1619.81</f>
        <v>2364.52</v>
      </c>
      <c r="AE455" s="98">
        <f>3975.2-1642.8</f>
        <v>2332.3999999999996</v>
      </c>
      <c r="AF455" s="98">
        <f>4004.8-1650.51</f>
        <v>2354.29</v>
      </c>
      <c r="AG455" s="98">
        <f t="shared" si="242"/>
        <v>-10.230000000000018</v>
      </c>
      <c r="AH455" s="99">
        <v>672.5</v>
      </c>
      <c r="AI455" s="100">
        <f t="shared" si="243"/>
        <v>1583260.0249999999</v>
      </c>
      <c r="AJ455" s="100">
        <f t="shared" si="266"/>
        <v>0</v>
      </c>
      <c r="AK455" s="100">
        <v>0</v>
      </c>
      <c r="AL455" s="100">
        <v>24140</v>
      </c>
      <c r="AM455" s="100">
        <v>0</v>
      </c>
      <c r="AN455" s="100">
        <v>0</v>
      </c>
      <c r="AO455" s="100">
        <v>0</v>
      </c>
      <c r="AP455" s="100">
        <f t="shared" si="246"/>
        <v>80371</v>
      </c>
      <c r="AQ455" s="101">
        <f t="shared" si="256"/>
        <v>1687772</v>
      </c>
      <c r="AR455" s="101">
        <v>0</v>
      </c>
      <c r="AS455" s="101">
        <v>0</v>
      </c>
      <c r="AT455" s="102" t="s">
        <v>33</v>
      </c>
      <c r="AU455" s="120">
        <v>17</v>
      </c>
      <c r="AV455" s="121">
        <f>46.02-25.02</f>
        <v>21.000000000000004</v>
      </c>
      <c r="AW455" s="105"/>
      <c r="AX455" s="140">
        <f>IFERROR(((AG455+AG456)/(AF455+AF456))*100, "")</f>
        <v>0.51113663603675652</v>
      </c>
      <c r="AY455" s="141">
        <f>ROUNDUP((AG455+AG456)*AH455,0)</f>
        <v>13767</v>
      </c>
      <c r="AZ455" s="107"/>
      <c r="BA455" s="118">
        <v>45498.118055555555</v>
      </c>
      <c r="BB455" s="118">
        <v>45498.125</v>
      </c>
      <c r="BC455" s="118">
        <v>45498.131944444445</v>
      </c>
      <c r="BD455" s="118">
        <v>45498.318055555559</v>
      </c>
      <c r="BE455" s="119">
        <f t="shared" si="261"/>
        <v>0.20000000000436557</v>
      </c>
      <c r="BF455" s="119">
        <v>4.1666666666666664E-2</v>
      </c>
      <c r="BG455" s="119">
        <v>6.9444444444444441E-3</v>
      </c>
      <c r="BH455" s="119">
        <f t="shared" si="262"/>
        <v>6.9444444452528842E-3</v>
      </c>
      <c r="BI455" s="119">
        <f t="shared" si="262"/>
        <v>6.9444444452528842E-3</v>
      </c>
      <c r="BJ455" s="119">
        <f t="shared" si="262"/>
        <v>0.18611111111385981</v>
      </c>
      <c r="BK455" s="119">
        <f t="shared" si="263"/>
        <v>0.19305555555911269</v>
      </c>
      <c r="BL455" s="119">
        <f t="shared" si="264"/>
        <v>0.14444444444800159</v>
      </c>
      <c r="BM455" s="172" t="str">
        <f t="shared" si="265"/>
        <v>00:00</v>
      </c>
      <c r="BN455" s="108" t="s">
        <v>631</v>
      </c>
    </row>
    <row r="456" spans="1:66" s="8" customFormat="1" ht="12.75" customHeight="1" x14ac:dyDescent="0.25">
      <c r="A456" s="122"/>
      <c r="B456" s="122"/>
      <c r="C456" s="90">
        <v>1</v>
      </c>
      <c r="D456" s="122"/>
      <c r="E456" s="210" t="s">
        <v>632</v>
      </c>
      <c r="F456" s="122"/>
      <c r="G456" s="122"/>
      <c r="H456" s="122"/>
      <c r="I456" s="218"/>
      <c r="J456" s="124"/>
      <c r="K456" s="123"/>
      <c r="L456" s="123"/>
      <c r="M456" s="124"/>
      <c r="N456" s="125"/>
      <c r="O456" s="125"/>
      <c r="P456" s="125"/>
      <c r="Q456" s="125"/>
      <c r="R456" s="125"/>
      <c r="S456" s="125"/>
      <c r="T456" s="125"/>
      <c r="U456" s="125"/>
      <c r="V456" s="126"/>
      <c r="W456" s="126"/>
      <c r="X456" s="126"/>
      <c r="Y456" s="96">
        <v>0</v>
      </c>
      <c r="Z456" s="96">
        <v>24</v>
      </c>
      <c r="AA456" s="96">
        <f t="shared" si="239"/>
        <v>24</v>
      </c>
      <c r="AB456" s="97">
        <f t="shared" si="240"/>
        <v>0</v>
      </c>
      <c r="AC456" s="97">
        <f t="shared" si="241"/>
        <v>1619.81</v>
      </c>
      <c r="AD456" s="98">
        <v>1619.81</v>
      </c>
      <c r="AE456" s="98">
        <v>1642.8</v>
      </c>
      <c r="AF456" s="98">
        <v>1650.51</v>
      </c>
      <c r="AG456" s="98">
        <f t="shared" si="242"/>
        <v>30.700000000000045</v>
      </c>
      <c r="AH456" s="99">
        <v>672.5</v>
      </c>
      <c r="AI456" s="100">
        <f t="shared" si="243"/>
        <v>1109967.9750000001</v>
      </c>
      <c r="AJ456" s="100">
        <f t="shared" si="266"/>
        <v>0</v>
      </c>
      <c r="AK456" s="100">
        <v>0</v>
      </c>
      <c r="AL456" s="100">
        <v>0</v>
      </c>
      <c r="AM456" s="100">
        <v>0</v>
      </c>
      <c r="AN456" s="100">
        <v>0</v>
      </c>
      <c r="AO456" s="100">
        <v>0</v>
      </c>
      <c r="AP456" s="100">
        <f>ROUNDUP(SUM(AI456:AO456)*5%,0)-1</f>
        <v>55498</v>
      </c>
      <c r="AQ456" s="101">
        <f>ROUNDUP(SUM(AI456:AP456),0)-1</f>
        <v>1165465</v>
      </c>
      <c r="AR456" s="101">
        <v>0</v>
      </c>
      <c r="AS456" s="101">
        <v>0</v>
      </c>
      <c r="AT456" s="102" t="s">
        <v>33</v>
      </c>
      <c r="AU456" s="127"/>
      <c r="AV456" s="128"/>
      <c r="AW456" s="105"/>
      <c r="AX456" s="144"/>
      <c r="AY456" s="145"/>
      <c r="AZ456" s="107"/>
      <c r="BA456" s="125"/>
      <c r="BB456" s="125"/>
      <c r="BC456" s="125"/>
      <c r="BD456" s="125"/>
      <c r="BE456" s="126"/>
      <c r="BF456" s="126"/>
      <c r="BG456" s="126"/>
      <c r="BH456" s="126"/>
      <c r="BI456" s="126"/>
      <c r="BJ456" s="126"/>
      <c r="BK456" s="126"/>
      <c r="BL456" s="126"/>
      <c r="BM456" s="173"/>
      <c r="BN456" s="110" t="s">
        <v>633</v>
      </c>
    </row>
    <row r="457" spans="1:66" s="8" customFormat="1" ht="12.75" customHeight="1" x14ac:dyDescent="0.25">
      <c r="A457" s="150">
        <v>407</v>
      </c>
      <c r="B457" s="150">
        <v>78</v>
      </c>
      <c r="C457" s="90">
        <v>2</v>
      </c>
      <c r="D457" s="111" t="s">
        <v>148</v>
      </c>
      <c r="E457" s="210" t="s">
        <v>632</v>
      </c>
      <c r="F457" s="150" t="s">
        <v>16</v>
      </c>
      <c r="G457" s="150" t="s">
        <v>17</v>
      </c>
      <c r="H457" s="150" t="s">
        <v>150</v>
      </c>
      <c r="I457" s="150" t="s">
        <v>634</v>
      </c>
      <c r="J457" s="151">
        <v>45497</v>
      </c>
      <c r="K457" s="135" t="s">
        <v>117</v>
      </c>
      <c r="L457" s="135">
        <v>461000379</v>
      </c>
      <c r="M457" s="151">
        <v>45498</v>
      </c>
      <c r="N457" s="152">
        <v>45498.302083333336</v>
      </c>
      <c r="O457" s="152">
        <v>45498.302083333336</v>
      </c>
      <c r="P457" s="152">
        <v>45498.305555555555</v>
      </c>
      <c r="Q457" s="152">
        <v>45498.5</v>
      </c>
      <c r="R457" s="152" t="s">
        <v>118</v>
      </c>
      <c r="S457" s="152" t="s">
        <v>118</v>
      </c>
      <c r="T457" s="152">
        <v>45498.635416666664</v>
      </c>
      <c r="U457" s="152">
        <v>45498.75</v>
      </c>
      <c r="V457" s="219">
        <f t="shared" ref="V457:V475" si="267">+Q457-O457</f>
        <v>0.19791666666424135</v>
      </c>
      <c r="W457" s="165">
        <v>0.20833333333333334</v>
      </c>
      <c r="X457" s="219" t="str">
        <f t="shared" ref="X457:X475" si="268">IF(VALUE(V457)&lt;=VALUE("05:00"),"00:00",VALUE(V457)-VALUE("05:00"))</f>
        <v>00:00</v>
      </c>
      <c r="Y457" s="96">
        <v>2</v>
      </c>
      <c r="Z457" s="96">
        <v>56</v>
      </c>
      <c r="AA457" s="96">
        <f t="shared" si="239"/>
        <v>58</v>
      </c>
      <c r="AB457" s="97">
        <f t="shared" si="240"/>
        <v>137.26344827586206</v>
      </c>
      <c r="AC457" s="97">
        <f t="shared" si="241"/>
        <v>3843.3765517241377</v>
      </c>
      <c r="AD457" s="98">
        <v>3980.64</v>
      </c>
      <c r="AE457" s="98">
        <v>3967.3</v>
      </c>
      <c r="AF457" s="98">
        <v>4002.4</v>
      </c>
      <c r="AG457" s="98">
        <f t="shared" si="242"/>
        <v>21.760000000000218</v>
      </c>
      <c r="AH457" s="99">
        <v>672.5</v>
      </c>
      <c r="AI457" s="100">
        <f t="shared" si="243"/>
        <v>2691614</v>
      </c>
      <c r="AJ457" s="100">
        <f t="shared" si="266"/>
        <v>0</v>
      </c>
      <c r="AK457" s="100">
        <v>0</v>
      </c>
      <c r="AL457" s="100">
        <v>24140</v>
      </c>
      <c r="AM457" s="100">
        <v>0</v>
      </c>
      <c r="AN457" s="100">
        <v>0</v>
      </c>
      <c r="AO457" s="100">
        <v>0</v>
      </c>
      <c r="AP457" s="100">
        <f t="shared" ref="AP457:AP488" si="269">ROUNDUP(SUM(AI457:AO457)*5%,0)</f>
        <v>135788</v>
      </c>
      <c r="AQ457" s="101">
        <f t="shared" ref="AQ457:AQ481" si="270">ROUNDUP(SUM(AI457:AP457),0)</f>
        <v>2851542</v>
      </c>
      <c r="AR457" s="101">
        <v>0</v>
      </c>
      <c r="AS457" s="101">
        <v>0</v>
      </c>
      <c r="AT457" s="102" t="s">
        <v>33</v>
      </c>
      <c r="AU457" s="109">
        <v>25</v>
      </c>
      <c r="AV457" s="100">
        <f>68.66-29.66</f>
        <v>39</v>
      </c>
      <c r="AW457" s="105"/>
      <c r="AX457" s="216">
        <f t="shared" ref="AX457:AX474" si="271">IFERROR((AG457/AF457)*100, "")</f>
        <v>0.54367379572257191</v>
      </c>
      <c r="AY457" s="217">
        <f t="shared" ref="AY457:AY474" si="272">ROUNDUP(AG457*AH457,0)</f>
        <v>14634</v>
      </c>
      <c r="AZ457" s="107"/>
      <c r="BA457" s="94">
        <v>45498.302083333336</v>
      </c>
      <c r="BB457" s="94">
        <v>45498.305555555555</v>
      </c>
      <c r="BC457" s="94">
        <v>45498.324999999997</v>
      </c>
      <c r="BD457" s="94">
        <v>45498.486805555556</v>
      </c>
      <c r="BE457" s="95">
        <f t="shared" ref="BE457:BE475" si="273">+BD457-BA457</f>
        <v>0.18472222222044365</v>
      </c>
      <c r="BF457" s="95">
        <v>3.125E-2</v>
      </c>
      <c r="BG457" s="95">
        <v>2.1527777777777778E-2</v>
      </c>
      <c r="BH457" s="95">
        <f t="shared" ref="BH457:BJ475" si="274">+BB457-BA457</f>
        <v>3.4722222189884633E-3</v>
      </c>
      <c r="BI457" s="95">
        <f t="shared" si="274"/>
        <v>1.9444444442342501E-2</v>
      </c>
      <c r="BJ457" s="95">
        <f t="shared" si="274"/>
        <v>0.16180555555911269</v>
      </c>
      <c r="BK457" s="95">
        <f t="shared" ref="BK457:BK475" si="275">+BI457+BJ457</f>
        <v>0.18125000000145519</v>
      </c>
      <c r="BL457" s="95">
        <f t="shared" ref="BL457:BL475" si="276">+BE457-BH457-BF457-BG457</f>
        <v>0.12847222222367741</v>
      </c>
      <c r="BM457" s="95" t="str">
        <f t="shared" ref="BM457:BM475" si="277">IF(VALUE(BE457)&lt;=VALUE("05:00"),"00:00",VALUE(BE457)-VALUE("05:00"))</f>
        <v>00:00</v>
      </c>
      <c r="BN457" s="110"/>
    </row>
    <row r="458" spans="1:66" s="8" customFormat="1" ht="12.75" customHeight="1" x14ac:dyDescent="0.25">
      <c r="A458" s="150">
        <v>408</v>
      </c>
      <c r="B458" s="150">
        <v>79</v>
      </c>
      <c r="C458" s="90">
        <v>3</v>
      </c>
      <c r="D458" s="111" t="s">
        <v>148</v>
      </c>
      <c r="E458" s="210" t="s">
        <v>632</v>
      </c>
      <c r="F458" s="150" t="s">
        <v>16</v>
      </c>
      <c r="G458" s="150" t="s">
        <v>17</v>
      </c>
      <c r="H458" s="150" t="s">
        <v>150</v>
      </c>
      <c r="I458" s="150" t="s">
        <v>635</v>
      </c>
      <c r="J458" s="151">
        <v>45498</v>
      </c>
      <c r="K458" s="135" t="s">
        <v>122</v>
      </c>
      <c r="L458" s="135">
        <v>461000380</v>
      </c>
      <c r="M458" s="151">
        <v>45498</v>
      </c>
      <c r="N458" s="152">
        <v>45498.572916666664</v>
      </c>
      <c r="O458" s="152">
        <v>45498.572916666664</v>
      </c>
      <c r="P458" s="152">
        <v>45498.583333333336</v>
      </c>
      <c r="Q458" s="152">
        <v>45498.760416666664</v>
      </c>
      <c r="R458" s="152" t="s">
        <v>118</v>
      </c>
      <c r="S458" s="152" t="s">
        <v>118</v>
      </c>
      <c r="T458" s="152">
        <v>45498.8125</v>
      </c>
      <c r="U458" s="152">
        <v>45498.961805555555</v>
      </c>
      <c r="V458" s="219">
        <f t="shared" si="267"/>
        <v>0.1875</v>
      </c>
      <c r="W458" s="165">
        <v>0.20833333333333334</v>
      </c>
      <c r="X458" s="219" t="str">
        <f t="shared" si="268"/>
        <v>00:00</v>
      </c>
      <c r="Y458" s="96">
        <v>0</v>
      </c>
      <c r="Z458" s="96">
        <v>59</v>
      </c>
      <c r="AA458" s="96">
        <f t="shared" si="239"/>
        <v>59</v>
      </c>
      <c r="AB458" s="97">
        <f t="shared" si="240"/>
        <v>0</v>
      </c>
      <c r="AC458" s="97">
        <f t="shared" si="241"/>
        <v>4011.8500000000004</v>
      </c>
      <c r="AD458" s="98">
        <v>4011.85</v>
      </c>
      <c r="AE458" s="98">
        <v>4032.8</v>
      </c>
      <c r="AF458" s="98">
        <v>4048</v>
      </c>
      <c r="AG458" s="98">
        <f t="shared" si="242"/>
        <v>36.150000000000091</v>
      </c>
      <c r="AH458" s="99">
        <v>672.5</v>
      </c>
      <c r="AI458" s="100">
        <f t="shared" si="243"/>
        <v>2722280</v>
      </c>
      <c r="AJ458" s="100">
        <f t="shared" si="266"/>
        <v>0</v>
      </c>
      <c r="AK458" s="100">
        <v>0</v>
      </c>
      <c r="AL458" s="100">
        <v>24290</v>
      </c>
      <c r="AM458" s="100">
        <v>0</v>
      </c>
      <c r="AN458" s="100">
        <v>0</v>
      </c>
      <c r="AO458" s="100">
        <v>0</v>
      </c>
      <c r="AP458" s="100">
        <f t="shared" si="269"/>
        <v>137329</v>
      </c>
      <c r="AQ458" s="101">
        <f t="shared" si="270"/>
        <v>2883899</v>
      </c>
      <c r="AR458" s="101">
        <v>0</v>
      </c>
      <c r="AS458" s="101">
        <v>0</v>
      </c>
      <c r="AT458" s="102" t="s">
        <v>33</v>
      </c>
      <c r="AU458" s="109">
        <v>6</v>
      </c>
      <c r="AV458" s="100">
        <f>17.78-13.28</f>
        <v>4.5000000000000018</v>
      </c>
      <c r="AW458" s="105"/>
      <c r="AX458" s="216">
        <f t="shared" si="271"/>
        <v>0.89303359683794692</v>
      </c>
      <c r="AY458" s="217">
        <f t="shared" si="272"/>
        <v>24311</v>
      </c>
      <c r="AZ458" s="107"/>
      <c r="BA458" s="94">
        <v>45498.572916666664</v>
      </c>
      <c r="BB458" s="94">
        <v>45498.583333333336</v>
      </c>
      <c r="BC458" s="94">
        <v>45498.583333333336</v>
      </c>
      <c r="BD458" s="94">
        <v>45498.75</v>
      </c>
      <c r="BE458" s="95">
        <f t="shared" si="273"/>
        <v>0.17708333333575865</v>
      </c>
      <c r="BF458" s="95">
        <v>2.361111111111111E-2</v>
      </c>
      <c r="BG458" s="95">
        <v>0</v>
      </c>
      <c r="BH458" s="95">
        <f t="shared" si="274"/>
        <v>1.0416666671517305E-2</v>
      </c>
      <c r="BI458" s="95">
        <f t="shared" si="274"/>
        <v>0</v>
      </c>
      <c r="BJ458" s="95">
        <f t="shared" si="274"/>
        <v>0.16666666666424135</v>
      </c>
      <c r="BK458" s="95">
        <f t="shared" si="275"/>
        <v>0.16666666666424135</v>
      </c>
      <c r="BL458" s="95">
        <f t="shared" si="276"/>
        <v>0.14305555555313024</v>
      </c>
      <c r="BM458" s="95" t="str">
        <f t="shared" si="277"/>
        <v>00:00</v>
      </c>
      <c r="BN458" s="110"/>
    </row>
    <row r="459" spans="1:66" s="8" customFormat="1" ht="12.75" customHeight="1" x14ac:dyDescent="0.25">
      <c r="A459" s="150">
        <v>409</v>
      </c>
      <c r="B459" s="150">
        <v>80</v>
      </c>
      <c r="C459" s="90">
        <v>9</v>
      </c>
      <c r="D459" s="111" t="s">
        <v>113</v>
      </c>
      <c r="E459" s="210" t="s">
        <v>530</v>
      </c>
      <c r="F459" s="150" t="s">
        <v>29</v>
      </c>
      <c r="G459" s="111" t="s">
        <v>15</v>
      </c>
      <c r="H459" s="111" t="s">
        <v>124</v>
      </c>
      <c r="I459" s="150" t="s">
        <v>636</v>
      </c>
      <c r="J459" s="151">
        <v>45498</v>
      </c>
      <c r="K459" s="135" t="s">
        <v>117</v>
      </c>
      <c r="L459" s="135">
        <v>461000381</v>
      </c>
      <c r="M459" s="151">
        <v>45499</v>
      </c>
      <c r="N459" s="152">
        <v>45498.791666666664</v>
      </c>
      <c r="O459" s="152">
        <v>45498.791666666664</v>
      </c>
      <c r="P459" s="152">
        <v>45498.798611111109</v>
      </c>
      <c r="Q459" s="152">
        <v>45498.993055555555</v>
      </c>
      <c r="R459" s="152" t="s">
        <v>118</v>
      </c>
      <c r="S459" s="152">
        <v>45499.083333333336</v>
      </c>
      <c r="T459" s="152">
        <v>45499.135416666664</v>
      </c>
      <c r="U459" s="152">
        <v>45499.225694444445</v>
      </c>
      <c r="V459" s="219">
        <f t="shared" si="267"/>
        <v>0.20138888889050577</v>
      </c>
      <c r="W459" s="165">
        <v>0.20833333333333334</v>
      </c>
      <c r="X459" s="219" t="str">
        <f t="shared" si="268"/>
        <v>00:00</v>
      </c>
      <c r="Y459" s="96">
        <v>0</v>
      </c>
      <c r="Z459" s="96">
        <v>59</v>
      </c>
      <c r="AA459" s="96">
        <f t="shared" si="239"/>
        <v>59</v>
      </c>
      <c r="AB459" s="97">
        <f t="shared" si="240"/>
        <v>0</v>
      </c>
      <c r="AC459" s="97">
        <f t="shared" si="241"/>
        <v>3890.7199999999993</v>
      </c>
      <c r="AD459" s="98">
        <v>3890.72</v>
      </c>
      <c r="AE459" s="98">
        <v>4036</v>
      </c>
      <c r="AF459" s="98">
        <v>4039.8</v>
      </c>
      <c r="AG459" s="98">
        <f t="shared" si="242"/>
        <v>149.08000000000038</v>
      </c>
      <c r="AH459" s="99">
        <v>797.2</v>
      </c>
      <c r="AI459" s="100">
        <f t="shared" si="243"/>
        <v>3220528.5600000005</v>
      </c>
      <c r="AJ459" s="100">
        <f t="shared" si="266"/>
        <v>0</v>
      </c>
      <c r="AK459" s="100">
        <v>0</v>
      </c>
      <c r="AL459" s="100">
        <v>0</v>
      </c>
      <c r="AM459" s="100">
        <v>0</v>
      </c>
      <c r="AN459" s="100">
        <v>0</v>
      </c>
      <c r="AO459" s="100">
        <v>0</v>
      </c>
      <c r="AP459" s="100">
        <f t="shared" si="269"/>
        <v>161027</v>
      </c>
      <c r="AQ459" s="101">
        <f t="shared" si="270"/>
        <v>3381556</v>
      </c>
      <c r="AR459" s="101">
        <v>0</v>
      </c>
      <c r="AS459" s="101">
        <v>0</v>
      </c>
      <c r="AT459" s="102" t="s">
        <v>33</v>
      </c>
      <c r="AU459" s="109" t="s">
        <v>118</v>
      </c>
      <c r="AV459" s="100">
        <v>0</v>
      </c>
      <c r="AW459" s="105"/>
      <c r="AX459" s="216">
        <f t="shared" si="271"/>
        <v>3.6902816971137278</v>
      </c>
      <c r="AY459" s="217">
        <f t="shared" si="272"/>
        <v>118847</v>
      </c>
      <c r="AZ459" s="107"/>
      <c r="BA459" s="94">
        <v>45498.791666666664</v>
      </c>
      <c r="BB459" s="94">
        <v>45498.798611111109</v>
      </c>
      <c r="BC459" s="94">
        <v>45498.8125</v>
      </c>
      <c r="BD459" s="94">
        <v>45499.088888888888</v>
      </c>
      <c r="BE459" s="95">
        <f t="shared" si="273"/>
        <v>0.29722222222335404</v>
      </c>
      <c r="BF459" s="95">
        <v>6.9444444444444441E-3</v>
      </c>
      <c r="BG459" s="95">
        <v>0.16666666666666666</v>
      </c>
      <c r="BH459" s="95">
        <f t="shared" si="274"/>
        <v>6.9444444452528842E-3</v>
      </c>
      <c r="BI459" s="95">
        <f t="shared" si="274"/>
        <v>1.3888888890505768E-2</v>
      </c>
      <c r="BJ459" s="95">
        <f t="shared" si="274"/>
        <v>0.27638888888759539</v>
      </c>
      <c r="BK459" s="95">
        <f t="shared" si="275"/>
        <v>0.29027777777810115</v>
      </c>
      <c r="BL459" s="95">
        <f t="shared" si="276"/>
        <v>0.11666666666699008</v>
      </c>
      <c r="BM459" s="95">
        <f t="shared" si="277"/>
        <v>8.8888888890020695E-2</v>
      </c>
      <c r="BN459" s="110"/>
    </row>
    <row r="460" spans="1:66" s="8" customFormat="1" ht="12.75" customHeight="1" x14ac:dyDescent="0.25">
      <c r="A460" s="150">
        <v>410</v>
      </c>
      <c r="B460" s="150">
        <v>81</v>
      </c>
      <c r="C460" s="90">
        <v>4</v>
      </c>
      <c r="D460" s="111" t="s">
        <v>148</v>
      </c>
      <c r="E460" s="210" t="s">
        <v>632</v>
      </c>
      <c r="F460" s="150" t="s">
        <v>16</v>
      </c>
      <c r="G460" s="150" t="s">
        <v>17</v>
      </c>
      <c r="H460" s="150" t="s">
        <v>150</v>
      </c>
      <c r="I460" s="150" t="s">
        <v>637</v>
      </c>
      <c r="J460" s="151">
        <v>45498</v>
      </c>
      <c r="K460" s="135" t="s">
        <v>122</v>
      </c>
      <c r="L460" s="135">
        <v>461000382</v>
      </c>
      <c r="M460" s="151">
        <v>45499</v>
      </c>
      <c r="N460" s="152">
        <v>45499.114583333336</v>
      </c>
      <c r="O460" s="152">
        <v>45499.114583333336</v>
      </c>
      <c r="P460" s="152">
        <v>45499.118055555555</v>
      </c>
      <c r="Q460" s="152">
        <v>45499.3125</v>
      </c>
      <c r="R460" s="152" t="s">
        <v>118</v>
      </c>
      <c r="S460" s="152" t="s">
        <v>118</v>
      </c>
      <c r="T460" s="152">
        <v>45499.333333333336</v>
      </c>
      <c r="U460" s="152">
        <v>45499.430555555555</v>
      </c>
      <c r="V460" s="219">
        <f t="shared" si="267"/>
        <v>0.19791666666424135</v>
      </c>
      <c r="W460" s="165">
        <v>0.20833333333333334</v>
      </c>
      <c r="X460" s="219" t="str">
        <f t="shared" si="268"/>
        <v>00:00</v>
      </c>
      <c r="Y460" s="96">
        <v>0</v>
      </c>
      <c r="Z460" s="96">
        <v>59</v>
      </c>
      <c r="AA460" s="96">
        <f t="shared" si="239"/>
        <v>59</v>
      </c>
      <c r="AB460" s="97">
        <f t="shared" si="240"/>
        <v>0</v>
      </c>
      <c r="AC460" s="97">
        <f t="shared" si="241"/>
        <v>4073.9800000000005</v>
      </c>
      <c r="AD460" s="98">
        <v>4073.98</v>
      </c>
      <c r="AE460" s="98">
        <v>4049.5</v>
      </c>
      <c r="AF460" s="98">
        <v>4083.2</v>
      </c>
      <c r="AG460" s="98">
        <f t="shared" si="242"/>
        <v>9.2199999999997999</v>
      </c>
      <c r="AH460" s="99">
        <v>672.5</v>
      </c>
      <c r="AI460" s="100">
        <f t="shared" si="243"/>
        <v>2745952</v>
      </c>
      <c r="AJ460" s="100">
        <f t="shared" si="266"/>
        <v>0</v>
      </c>
      <c r="AK460" s="100">
        <v>0</v>
      </c>
      <c r="AL460" s="100">
        <v>24290</v>
      </c>
      <c r="AM460" s="100">
        <v>0</v>
      </c>
      <c r="AN460" s="100">
        <v>0</v>
      </c>
      <c r="AO460" s="100">
        <v>0</v>
      </c>
      <c r="AP460" s="100">
        <f t="shared" si="269"/>
        <v>138513</v>
      </c>
      <c r="AQ460" s="101">
        <f t="shared" si="270"/>
        <v>2908755</v>
      </c>
      <c r="AR460" s="101">
        <v>0</v>
      </c>
      <c r="AS460" s="101">
        <v>0</v>
      </c>
      <c r="AT460" s="102" t="s">
        <v>33</v>
      </c>
      <c r="AU460" s="109">
        <v>16</v>
      </c>
      <c r="AV460" s="100">
        <f>49.21-30.21</f>
        <v>19</v>
      </c>
      <c r="AW460" s="105"/>
      <c r="AX460" s="216">
        <f t="shared" si="271"/>
        <v>0.22580329153604525</v>
      </c>
      <c r="AY460" s="217">
        <f t="shared" si="272"/>
        <v>6201</v>
      </c>
      <c r="AZ460" s="107"/>
      <c r="BA460" s="94">
        <v>45499.114583333336</v>
      </c>
      <c r="BB460" s="94">
        <v>45499.118055555555</v>
      </c>
      <c r="BC460" s="94">
        <v>45499.118055555555</v>
      </c>
      <c r="BD460" s="94">
        <v>45499.26666666667</v>
      </c>
      <c r="BE460" s="95">
        <f t="shared" si="273"/>
        <v>0.15208333333430346</v>
      </c>
      <c r="BF460" s="95">
        <v>2.013888888888889E-2</v>
      </c>
      <c r="BG460" s="95">
        <v>0</v>
      </c>
      <c r="BH460" s="95">
        <f t="shared" si="274"/>
        <v>3.4722222189884633E-3</v>
      </c>
      <c r="BI460" s="95">
        <f t="shared" si="274"/>
        <v>0</v>
      </c>
      <c r="BJ460" s="95">
        <f t="shared" si="274"/>
        <v>0.148611111115315</v>
      </c>
      <c r="BK460" s="95">
        <f t="shared" si="275"/>
        <v>0.148611111115315</v>
      </c>
      <c r="BL460" s="95">
        <f t="shared" si="276"/>
        <v>0.1284722222264261</v>
      </c>
      <c r="BM460" s="95" t="str">
        <f t="shared" si="277"/>
        <v>00:00</v>
      </c>
      <c r="BN460" s="110"/>
    </row>
    <row r="461" spans="1:66" s="8" customFormat="1" ht="12.75" customHeight="1" x14ac:dyDescent="0.25">
      <c r="A461" s="150">
        <v>411</v>
      </c>
      <c r="B461" s="150">
        <v>82</v>
      </c>
      <c r="C461" s="90">
        <v>3</v>
      </c>
      <c r="D461" s="111" t="s">
        <v>113</v>
      </c>
      <c r="E461" s="210" t="s">
        <v>596</v>
      </c>
      <c r="F461" s="150" t="s">
        <v>32</v>
      </c>
      <c r="G461" s="150" t="s">
        <v>15</v>
      </c>
      <c r="H461" s="150" t="s">
        <v>182</v>
      </c>
      <c r="I461" s="150" t="s">
        <v>638</v>
      </c>
      <c r="J461" s="151">
        <v>45499</v>
      </c>
      <c r="K461" s="135" t="s">
        <v>117</v>
      </c>
      <c r="L461" s="135">
        <v>261005865</v>
      </c>
      <c r="M461" s="151">
        <v>45499</v>
      </c>
      <c r="N461" s="152">
        <v>45499.392361111109</v>
      </c>
      <c r="O461" s="152">
        <v>45499.392361111109</v>
      </c>
      <c r="P461" s="152">
        <v>45499.395833333336</v>
      </c>
      <c r="Q461" s="152">
        <v>45499.597222222219</v>
      </c>
      <c r="R461" s="152" t="s">
        <v>118</v>
      </c>
      <c r="S461" s="152" t="s">
        <v>118</v>
      </c>
      <c r="T461" s="152">
        <v>45499.634722222225</v>
      </c>
      <c r="U461" s="152">
        <v>45499.727777777778</v>
      </c>
      <c r="V461" s="219">
        <f t="shared" si="267"/>
        <v>0.20486111110949423</v>
      </c>
      <c r="W461" s="165">
        <v>0.20833333333333334</v>
      </c>
      <c r="X461" s="219" t="str">
        <f t="shared" si="268"/>
        <v>00:00</v>
      </c>
      <c r="Y461" s="96">
        <v>3</v>
      </c>
      <c r="Z461" s="96">
        <v>54</v>
      </c>
      <c r="AA461" s="96">
        <f t="shared" si="239"/>
        <v>57</v>
      </c>
      <c r="AB461" s="97">
        <f t="shared" si="240"/>
        <v>200.46947368421053</v>
      </c>
      <c r="AC461" s="97">
        <f t="shared" si="241"/>
        <v>3608.4505263157894</v>
      </c>
      <c r="AD461" s="98">
        <v>3808.92</v>
      </c>
      <c r="AE461" s="98">
        <v>3906.9</v>
      </c>
      <c r="AF461" s="98">
        <v>3908.8</v>
      </c>
      <c r="AG461" s="98">
        <f t="shared" si="242"/>
        <v>99.880000000000109</v>
      </c>
      <c r="AH461" s="99">
        <v>1484</v>
      </c>
      <c r="AI461" s="100">
        <f t="shared" si="243"/>
        <v>5800659.2000000002</v>
      </c>
      <c r="AJ461" s="100">
        <f t="shared" si="266"/>
        <v>0</v>
      </c>
      <c r="AK461" s="100">
        <v>0</v>
      </c>
      <c r="AL461" s="100">
        <v>0</v>
      </c>
      <c r="AM461" s="100">
        <v>0</v>
      </c>
      <c r="AN461" s="100">
        <v>0</v>
      </c>
      <c r="AO461" s="100">
        <v>0</v>
      </c>
      <c r="AP461" s="100">
        <f t="shared" si="269"/>
        <v>290033</v>
      </c>
      <c r="AQ461" s="101">
        <f t="shared" si="270"/>
        <v>6090693</v>
      </c>
      <c r="AR461" s="101">
        <v>0</v>
      </c>
      <c r="AS461" s="101">
        <v>0</v>
      </c>
      <c r="AT461" s="102" t="s">
        <v>33</v>
      </c>
      <c r="AU461" s="109" t="s">
        <v>118</v>
      </c>
      <c r="AV461" s="100">
        <v>0</v>
      </c>
      <c r="AW461" s="105"/>
      <c r="AX461" s="216">
        <f t="shared" si="271"/>
        <v>2.555259926320101</v>
      </c>
      <c r="AY461" s="217">
        <f t="shared" si="272"/>
        <v>148222</v>
      </c>
      <c r="AZ461" s="107"/>
      <c r="BA461" s="94">
        <v>45499.392361111109</v>
      </c>
      <c r="BB461" s="94">
        <v>45499.395833333336</v>
      </c>
      <c r="BC461" s="94">
        <v>45499.395833333336</v>
      </c>
      <c r="BD461" s="94">
        <v>45499.585416666669</v>
      </c>
      <c r="BE461" s="95">
        <f t="shared" si="273"/>
        <v>0.19305555555911269</v>
      </c>
      <c r="BF461" s="95">
        <v>2.1527777777777778E-2</v>
      </c>
      <c r="BG461" s="95">
        <v>6.8750000000000006E-2</v>
      </c>
      <c r="BH461" s="95">
        <f t="shared" si="274"/>
        <v>3.4722222262644209E-3</v>
      </c>
      <c r="BI461" s="95">
        <f t="shared" si="274"/>
        <v>0</v>
      </c>
      <c r="BJ461" s="95">
        <f t="shared" si="274"/>
        <v>0.18958333333284827</v>
      </c>
      <c r="BK461" s="95">
        <f t="shared" si="275"/>
        <v>0.18958333333284827</v>
      </c>
      <c r="BL461" s="95">
        <f t="shared" si="276"/>
        <v>9.9305555555070479E-2</v>
      </c>
      <c r="BM461" s="95" t="str">
        <f t="shared" si="277"/>
        <v>00:00</v>
      </c>
      <c r="BN461" s="110"/>
    </row>
    <row r="462" spans="1:66" s="8" customFormat="1" ht="12.75" customHeight="1" x14ac:dyDescent="0.25">
      <c r="A462" s="150">
        <v>412</v>
      </c>
      <c r="B462" s="150">
        <v>83</v>
      </c>
      <c r="C462" s="90">
        <v>5</v>
      </c>
      <c r="D462" s="111" t="s">
        <v>148</v>
      </c>
      <c r="E462" s="210" t="s">
        <v>632</v>
      </c>
      <c r="F462" s="150" t="s">
        <v>16</v>
      </c>
      <c r="G462" s="150" t="s">
        <v>17</v>
      </c>
      <c r="H462" s="150" t="s">
        <v>150</v>
      </c>
      <c r="I462" s="150" t="s">
        <v>639</v>
      </c>
      <c r="J462" s="151">
        <v>45498</v>
      </c>
      <c r="K462" s="135" t="s">
        <v>122</v>
      </c>
      <c r="L462" s="135">
        <v>461000384</v>
      </c>
      <c r="M462" s="151">
        <v>45500</v>
      </c>
      <c r="N462" s="152">
        <v>45499.625</v>
      </c>
      <c r="O462" s="152">
        <v>45499.625</v>
      </c>
      <c r="P462" s="152">
        <v>45499.628472222219</v>
      </c>
      <c r="Q462" s="152">
        <v>45499.833333333336</v>
      </c>
      <c r="R462" s="152" t="s">
        <v>118</v>
      </c>
      <c r="S462" s="152" t="s">
        <v>118</v>
      </c>
      <c r="T462" s="152">
        <v>45499.875</v>
      </c>
      <c r="U462" s="152">
        <v>45500.076388888891</v>
      </c>
      <c r="V462" s="219">
        <f t="shared" si="267"/>
        <v>0.20833333333575865</v>
      </c>
      <c r="W462" s="165">
        <v>0.20833333333333334</v>
      </c>
      <c r="X462" s="219">
        <f t="shared" si="268"/>
        <v>2.4253099528692701E-12</v>
      </c>
      <c r="Y462" s="96">
        <v>0</v>
      </c>
      <c r="Z462" s="96">
        <v>58</v>
      </c>
      <c r="AA462" s="96">
        <f t="shared" si="239"/>
        <v>58</v>
      </c>
      <c r="AB462" s="97">
        <f t="shared" si="240"/>
        <v>0</v>
      </c>
      <c r="AC462" s="97">
        <f t="shared" si="241"/>
        <v>3941.5300000000007</v>
      </c>
      <c r="AD462" s="98">
        <v>3941.53</v>
      </c>
      <c r="AE462" s="98">
        <v>3975.8</v>
      </c>
      <c r="AF462" s="98">
        <v>3989.2</v>
      </c>
      <c r="AG462" s="98">
        <f t="shared" si="242"/>
        <v>47.669999999999618</v>
      </c>
      <c r="AH462" s="99">
        <v>672.5</v>
      </c>
      <c r="AI462" s="100">
        <f t="shared" si="243"/>
        <v>2682737</v>
      </c>
      <c r="AJ462" s="100">
        <f t="shared" si="266"/>
        <v>0</v>
      </c>
      <c r="AK462" s="100">
        <v>0</v>
      </c>
      <c r="AL462" s="100">
        <v>24140</v>
      </c>
      <c r="AM462" s="100">
        <v>0</v>
      </c>
      <c r="AN462" s="100">
        <v>0</v>
      </c>
      <c r="AO462" s="100">
        <v>0</v>
      </c>
      <c r="AP462" s="100">
        <f t="shared" si="269"/>
        <v>135344</v>
      </c>
      <c r="AQ462" s="101">
        <f t="shared" si="270"/>
        <v>2842221</v>
      </c>
      <c r="AR462" s="101">
        <v>0</v>
      </c>
      <c r="AS462" s="101">
        <v>0</v>
      </c>
      <c r="AT462" s="102" t="s">
        <v>33</v>
      </c>
      <c r="AU462" s="109">
        <v>5</v>
      </c>
      <c r="AV462" s="100">
        <f>19.94-12.94</f>
        <v>7.0000000000000018</v>
      </c>
      <c r="AW462" s="105"/>
      <c r="AX462" s="216">
        <f t="shared" si="271"/>
        <v>1.1949764363782118</v>
      </c>
      <c r="AY462" s="217">
        <f t="shared" si="272"/>
        <v>32059</v>
      </c>
      <c r="AZ462" s="107"/>
      <c r="BA462" s="94">
        <v>45499.625</v>
      </c>
      <c r="BB462" s="94">
        <v>45499.628472222219</v>
      </c>
      <c r="BC462" s="94">
        <v>45499.638888888891</v>
      </c>
      <c r="BD462" s="94">
        <v>45499.821527777778</v>
      </c>
      <c r="BE462" s="95">
        <f t="shared" si="273"/>
        <v>0.19652777777810115</v>
      </c>
      <c r="BF462" s="95">
        <v>1.0416666666666666E-2</v>
      </c>
      <c r="BG462" s="95">
        <v>4.583333333333333E-2</v>
      </c>
      <c r="BH462" s="95">
        <f t="shared" si="274"/>
        <v>3.4722222189884633E-3</v>
      </c>
      <c r="BI462" s="95">
        <f t="shared" si="274"/>
        <v>1.0416666671517305E-2</v>
      </c>
      <c r="BJ462" s="95">
        <f t="shared" si="274"/>
        <v>0.18263888888759539</v>
      </c>
      <c r="BK462" s="95">
        <f t="shared" si="275"/>
        <v>0.19305555555911269</v>
      </c>
      <c r="BL462" s="95">
        <f t="shared" si="276"/>
        <v>0.1368055555591127</v>
      </c>
      <c r="BM462" s="95" t="str">
        <f t="shared" si="277"/>
        <v>00:00</v>
      </c>
      <c r="BN462" s="110"/>
    </row>
    <row r="463" spans="1:66" s="8" customFormat="1" ht="12.75" customHeight="1" x14ac:dyDescent="0.25">
      <c r="A463" s="150">
        <v>413</v>
      </c>
      <c r="B463" s="150">
        <v>84</v>
      </c>
      <c r="C463" s="90">
        <v>11</v>
      </c>
      <c r="D463" s="111" t="s">
        <v>113</v>
      </c>
      <c r="E463" s="210" t="s">
        <v>551</v>
      </c>
      <c r="F463" s="150" t="s">
        <v>29</v>
      </c>
      <c r="G463" s="150" t="s">
        <v>8</v>
      </c>
      <c r="H463" s="150" t="s">
        <v>124</v>
      </c>
      <c r="I463" s="150" t="s">
        <v>640</v>
      </c>
      <c r="J463" s="151">
        <v>45499</v>
      </c>
      <c r="K463" s="135" t="s">
        <v>117</v>
      </c>
      <c r="L463" s="135">
        <v>461000383</v>
      </c>
      <c r="M463" s="151">
        <v>45500</v>
      </c>
      <c r="N463" s="152">
        <v>45499.819444444445</v>
      </c>
      <c r="O463" s="152">
        <v>45499.819444444445</v>
      </c>
      <c r="P463" s="152">
        <v>45499.826388888891</v>
      </c>
      <c r="Q463" s="152">
        <v>45499.993055555555</v>
      </c>
      <c r="R463" s="152" t="s">
        <v>118</v>
      </c>
      <c r="S463" s="152">
        <v>45500.083333333336</v>
      </c>
      <c r="T463" s="152">
        <v>45500.090277777781</v>
      </c>
      <c r="U463" s="152">
        <v>45500.196527777778</v>
      </c>
      <c r="V463" s="219">
        <f t="shared" si="267"/>
        <v>0.17361111110949423</v>
      </c>
      <c r="W463" s="165">
        <v>0.20833333333333334</v>
      </c>
      <c r="X463" s="219" t="str">
        <f t="shared" si="268"/>
        <v>00:00</v>
      </c>
      <c r="Y463" s="96">
        <v>0</v>
      </c>
      <c r="Z463" s="96">
        <v>58</v>
      </c>
      <c r="AA463" s="96">
        <f t="shared" si="239"/>
        <v>58</v>
      </c>
      <c r="AB463" s="97">
        <f t="shared" si="240"/>
        <v>0</v>
      </c>
      <c r="AC463" s="97">
        <f t="shared" si="241"/>
        <v>3919.62</v>
      </c>
      <c r="AD463" s="98">
        <v>3919.62</v>
      </c>
      <c r="AE463" s="98">
        <v>3972.5</v>
      </c>
      <c r="AF463" s="98">
        <v>3980.2</v>
      </c>
      <c r="AG463" s="98">
        <f t="shared" si="242"/>
        <v>60.579999999999927</v>
      </c>
      <c r="AH463" s="99">
        <v>797.2</v>
      </c>
      <c r="AI463" s="100">
        <f t="shared" si="243"/>
        <v>3173015.44</v>
      </c>
      <c r="AJ463" s="100">
        <f>(1*AH463)*2</f>
        <v>1594.4</v>
      </c>
      <c r="AK463" s="100">
        <v>0</v>
      </c>
      <c r="AL463" s="100">
        <v>0</v>
      </c>
      <c r="AM463" s="100">
        <v>0</v>
      </c>
      <c r="AN463" s="100">
        <v>0</v>
      </c>
      <c r="AO463" s="100">
        <v>0</v>
      </c>
      <c r="AP463" s="100">
        <f t="shared" si="269"/>
        <v>158731</v>
      </c>
      <c r="AQ463" s="101">
        <f t="shared" si="270"/>
        <v>3333341</v>
      </c>
      <c r="AR463" s="101">
        <v>0</v>
      </c>
      <c r="AS463" s="101">
        <v>0</v>
      </c>
      <c r="AT463" s="102" t="s">
        <v>33</v>
      </c>
      <c r="AU463" s="109" t="s">
        <v>118</v>
      </c>
      <c r="AV463" s="100">
        <v>0</v>
      </c>
      <c r="AW463" s="105"/>
      <c r="AX463" s="216">
        <f t="shared" si="271"/>
        <v>1.5220340686397651</v>
      </c>
      <c r="AY463" s="217">
        <f t="shared" si="272"/>
        <v>48295</v>
      </c>
      <c r="AZ463" s="107"/>
      <c r="BA463" s="94">
        <v>45499.819444444445</v>
      </c>
      <c r="BB463" s="94">
        <v>45499.826388888891</v>
      </c>
      <c r="BC463" s="94">
        <v>45499.885416666664</v>
      </c>
      <c r="BD463" s="94">
        <v>45500.072222222225</v>
      </c>
      <c r="BE463" s="95">
        <f t="shared" si="273"/>
        <v>0.25277777777955635</v>
      </c>
      <c r="BF463" s="95">
        <v>4.8611111111111112E-2</v>
      </c>
      <c r="BG463" s="95">
        <v>5.5555555555555552E-2</v>
      </c>
      <c r="BH463" s="95">
        <f t="shared" si="274"/>
        <v>6.9444444452528842E-3</v>
      </c>
      <c r="BI463" s="95">
        <f t="shared" si="274"/>
        <v>5.9027777773735579E-2</v>
      </c>
      <c r="BJ463" s="95">
        <f t="shared" si="274"/>
        <v>0.18680555556056788</v>
      </c>
      <c r="BK463" s="95">
        <f t="shared" si="275"/>
        <v>0.24583333333430346</v>
      </c>
      <c r="BL463" s="95">
        <f t="shared" si="276"/>
        <v>0.1416666666676368</v>
      </c>
      <c r="BM463" s="95">
        <f t="shared" si="277"/>
        <v>4.4444444446223003E-2</v>
      </c>
      <c r="BN463" s="110"/>
    </row>
    <row r="464" spans="1:66" s="8" customFormat="1" ht="12.75" customHeight="1" x14ac:dyDescent="0.25">
      <c r="A464" s="150">
        <v>414</v>
      </c>
      <c r="B464" s="150">
        <v>85</v>
      </c>
      <c r="C464" s="90">
        <v>6</v>
      </c>
      <c r="D464" s="111" t="s">
        <v>148</v>
      </c>
      <c r="E464" s="210" t="s">
        <v>632</v>
      </c>
      <c r="F464" s="150" t="s">
        <v>16</v>
      </c>
      <c r="G464" s="150" t="s">
        <v>17</v>
      </c>
      <c r="H464" s="150" t="s">
        <v>150</v>
      </c>
      <c r="I464" s="150" t="s">
        <v>641</v>
      </c>
      <c r="J464" s="151">
        <v>45498</v>
      </c>
      <c r="K464" s="135" t="s">
        <v>122</v>
      </c>
      <c r="L464" s="135">
        <v>461000385</v>
      </c>
      <c r="M464" s="151">
        <v>45500</v>
      </c>
      <c r="N464" s="152">
        <v>45500.229166666664</v>
      </c>
      <c r="O464" s="152">
        <v>45500.229166666664</v>
      </c>
      <c r="P464" s="152">
        <v>45500.236111111109</v>
      </c>
      <c r="Q464" s="152">
        <v>45500.4375</v>
      </c>
      <c r="R464" s="152" t="s">
        <v>118</v>
      </c>
      <c r="S464" s="152" t="s">
        <v>118</v>
      </c>
      <c r="T464" s="152">
        <v>45500.444444444445</v>
      </c>
      <c r="U464" s="152">
        <v>45500.585416666669</v>
      </c>
      <c r="V464" s="219">
        <f t="shared" si="267"/>
        <v>0.20833333333575865</v>
      </c>
      <c r="W464" s="165">
        <v>0.20833333333333334</v>
      </c>
      <c r="X464" s="219">
        <f t="shared" si="268"/>
        <v>2.4253099528692701E-12</v>
      </c>
      <c r="Y464" s="96">
        <v>0</v>
      </c>
      <c r="Z464" s="96">
        <v>58</v>
      </c>
      <c r="AA464" s="96">
        <f t="shared" si="239"/>
        <v>58</v>
      </c>
      <c r="AB464" s="97">
        <f t="shared" si="240"/>
        <v>0</v>
      </c>
      <c r="AC464" s="97">
        <f t="shared" si="241"/>
        <v>3977.4700000000003</v>
      </c>
      <c r="AD464" s="98">
        <v>3977.47</v>
      </c>
      <c r="AE464" s="98">
        <v>3999.4</v>
      </c>
      <c r="AF464" s="98">
        <v>4011.2</v>
      </c>
      <c r="AG464" s="98">
        <f t="shared" si="242"/>
        <v>33.730000000000018</v>
      </c>
      <c r="AH464" s="99">
        <v>672.5</v>
      </c>
      <c r="AI464" s="100">
        <f t="shared" si="243"/>
        <v>2697532</v>
      </c>
      <c r="AJ464" s="100">
        <f>(2.2*AH464)*2</f>
        <v>2959.0000000000005</v>
      </c>
      <c r="AK464" s="100">
        <v>0</v>
      </c>
      <c r="AL464" s="100">
        <v>0</v>
      </c>
      <c r="AM464" s="100">
        <v>0</v>
      </c>
      <c r="AN464" s="100">
        <v>0</v>
      </c>
      <c r="AO464" s="100">
        <v>0</v>
      </c>
      <c r="AP464" s="100">
        <f t="shared" si="269"/>
        <v>135025</v>
      </c>
      <c r="AQ464" s="101">
        <f t="shared" si="270"/>
        <v>2835516</v>
      </c>
      <c r="AR464" s="101">
        <v>0</v>
      </c>
      <c r="AS464" s="101">
        <v>0</v>
      </c>
      <c r="AT464" s="102" t="s">
        <v>33</v>
      </c>
      <c r="AU464" s="109" t="s">
        <v>118</v>
      </c>
      <c r="AV464" s="100">
        <v>0</v>
      </c>
      <c r="AW464" s="105"/>
      <c r="AX464" s="216">
        <f t="shared" si="271"/>
        <v>0.84089549262066265</v>
      </c>
      <c r="AY464" s="217">
        <f t="shared" si="272"/>
        <v>22684</v>
      </c>
      <c r="AZ464" s="107"/>
      <c r="BA464" s="94">
        <v>45500.229166666664</v>
      </c>
      <c r="BB464" s="94">
        <v>45500.236111111109</v>
      </c>
      <c r="BC464" s="94">
        <v>45500.245833333334</v>
      </c>
      <c r="BD464" s="94">
        <v>45500.4375</v>
      </c>
      <c r="BE464" s="95">
        <f t="shared" si="273"/>
        <v>0.20833333333575865</v>
      </c>
      <c r="BF464" s="95">
        <v>5.2777777777777778E-2</v>
      </c>
      <c r="BG464" s="95">
        <v>9.7222222222222224E-3</v>
      </c>
      <c r="BH464" s="95">
        <f t="shared" si="274"/>
        <v>6.9444444452528842E-3</v>
      </c>
      <c r="BI464" s="95">
        <f t="shared" si="274"/>
        <v>9.7222222248092294E-3</v>
      </c>
      <c r="BJ464" s="95">
        <f t="shared" si="274"/>
        <v>0.19166666666569654</v>
      </c>
      <c r="BK464" s="95">
        <f t="shared" si="275"/>
        <v>0.20138888889050577</v>
      </c>
      <c r="BL464" s="95">
        <f t="shared" si="276"/>
        <v>0.13888888889050577</v>
      </c>
      <c r="BM464" s="95">
        <f t="shared" si="277"/>
        <v>2.4253099528692701E-12</v>
      </c>
      <c r="BN464" s="110"/>
    </row>
    <row r="465" spans="1:66" s="8" customFormat="1" ht="12.75" customHeight="1" x14ac:dyDescent="0.25">
      <c r="A465" s="150">
        <v>415</v>
      </c>
      <c r="B465" s="150">
        <v>86</v>
      </c>
      <c r="C465" s="90">
        <v>7</v>
      </c>
      <c r="D465" s="111" t="s">
        <v>148</v>
      </c>
      <c r="E465" s="210" t="s">
        <v>632</v>
      </c>
      <c r="F465" s="150" t="s">
        <v>16</v>
      </c>
      <c r="G465" s="150" t="s">
        <v>17</v>
      </c>
      <c r="H465" s="150" t="s">
        <v>150</v>
      </c>
      <c r="I465" s="150" t="s">
        <v>642</v>
      </c>
      <c r="J465" s="151">
        <v>45499</v>
      </c>
      <c r="K465" s="135" t="s">
        <v>117</v>
      </c>
      <c r="L465" s="135">
        <v>461000386</v>
      </c>
      <c r="M465" s="151">
        <v>45500</v>
      </c>
      <c r="N465" s="152">
        <v>45500.604166666664</v>
      </c>
      <c r="O465" s="152">
        <v>45500.604166666664</v>
      </c>
      <c r="P465" s="152">
        <v>45500.618055555555</v>
      </c>
      <c r="Q465" s="152">
        <v>45500.8125</v>
      </c>
      <c r="R465" s="152" t="s">
        <v>118</v>
      </c>
      <c r="S465" s="152" t="s">
        <v>118</v>
      </c>
      <c r="T465" s="152">
        <v>45500.843055555553</v>
      </c>
      <c r="U465" s="152">
        <v>45500.938194444447</v>
      </c>
      <c r="V465" s="219">
        <f t="shared" si="267"/>
        <v>0.20833333333575865</v>
      </c>
      <c r="W465" s="165">
        <v>0.20833333333333334</v>
      </c>
      <c r="X465" s="219">
        <f t="shared" si="268"/>
        <v>2.4253099528692701E-12</v>
      </c>
      <c r="Y465" s="96">
        <v>1</v>
      </c>
      <c r="Z465" s="96">
        <v>57</v>
      </c>
      <c r="AA465" s="96">
        <f t="shared" si="239"/>
        <v>58</v>
      </c>
      <c r="AB465" s="97">
        <f t="shared" si="240"/>
        <v>69.132758620689657</v>
      </c>
      <c r="AC465" s="97">
        <f t="shared" si="241"/>
        <v>3940.5672413793104</v>
      </c>
      <c r="AD465" s="98">
        <v>4009.7</v>
      </c>
      <c r="AE465" s="98">
        <v>3979.6</v>
      </c>
      <c r="AF465" s="98">
        <v>3998.8</v>
      </c>
      <c r="AG465" s="98">
        <f t="shared" si="242"/>
        <v>-10.899999999999636</v>
      </c>
      <c r="AH465" s="99">
        <v>672.5</v>
      </c>
      <c r="AI465" s="100">
        <f t="shared" si="243"/>
        <v>2689193</v>
      </c>
      <c r="AJ465" s="100">
        <f>(18.4*AH465)*3</f>
        <v>37121.999999999993</v>
      </c>
      <c r="AK465" s="100">
        <v>0</v>
      </c>
      <c r="AL465" s="100">
        <v>0</v>
      </c>
      <c r="AM465" s="100">
        <v>0</v>
      </c>
      <c r="AN465" s="100">
        <v>0</v>
      </c>
      <c r="AO465" s="100">
        <v>0</v>
      </c>
      <c r="AP465" s="100">
        <f t="shared" si="269"/>
        <v>136316</v>
      </c>
      <c r="AQ465" s="101">
        <f t="shared" si="270"/>
        <v>2862631</v>
      </c>
      <c r="AR465" s="101">
        <v>0</v>
      </c>
      <c r="AS465" s="101">
        <v>0</v>
      </c>
      <c r="AT465" s="102" t="s">
        <v>33</v>
      </c>
      <c r="AU465" s="109" t="s">
        <v>118</v>
      </c>
      <c r="AV465" s="100">
        <v>0</v>
      </c>
      <c r="AW465" s="105"/>
      <c r="AX465" s="216">
        <f t="shared" si="271"/>
        <v>-0.27258177453235055</v>
      </c>
      <c r="AY465" s="217">
        <f t="shared" si="272"/>
        <v>-7331</v>
      </c>
      <c r="AZ465" s="107"/>
      <c r="BA465" s="94">
        <v>45500.604166666664</v>
      </c>
      <c r="BB465" s="94">
        <v>45500.618055555555</v>
      </c>
      <c r="BC465" s="94">
        <v>45500.625</v>
      </c>
      <c r="BD465" s="94">
        <v>45500.807638888888</v>
      </c>
      <c r="BE465" s="95">
        <f t="shared" si="273"/>
        <v>0.20347222222335404</v>
      </c>
      <c r="BF465" s="95">
        <v>4.027777777777778E-2</v>
      </c>
      <c r="BG465" s="95">
        <v>0</v>
      </c>
      <c r="BH465" s="95">
        <f t="shared" si="274"/>
        <v>1.3888888890505768E-2</v>
      </c>
      <c r="BI465" s="95">
        <f t="shared" si="274"/>
        <v>6.9444444452528842E-3</v>
      </c>
      <c r="BJ465" s="95">
        <f t="shared" si="274"/>
        <v>0.18263888888759539</v>
      </c>
      <c r="BK465" s="95">
        <f t="shared" si="275"/>
        <v>0.18958333333284827</v>
      </c>
      <c r="BL465" s="95">
        <f t="shared" si="276"/>
        <v>0.1493055555550705</v>
      </c>
      <c r="BM465" s="95" t="str">
        <f t="shared" si="277"/>
        <v>00:00</v>
      </c>
      <c r="BN465" s="110"/>
    </row>
    <row r="466" spans="1:66" s="8" customFormat="1" ht="12.75" customHeight="1" x14ac:dyDescent="0.25">
      <c r="A466" s="150">
        <v>416</v>
      </c>
      <c r="B466" s="150">
        <v>87</v>
      </c>
      <c r="C466" s="90">
        <v>8</v>
      </c>
      <c r="D466" s="111" t="s">
        <v>148</v>
      </c>
      <c r="E466" s="210" t="s">
        <v>632</v>
      </c>
      <c r="F466" s="150" t="s">
        <v>16</v>
      </c>
      <c r="G466" s="150" t="s">
        <v>17</v>
      </c>
      <c r="H466" s="150" t="s">
        <v>150</v>
      </c>
      <c r="I466" s="150" t="s">
        <v>643</v>
      </c>
      <c r="J466" s="151">
        <v>45499</v>
      </c>
      <c r="K466" s="135" t="s">
        <v>122</v>
      </c>
      <c r="L466" s="135">
        <v>461000387</v>
      </c>
      <c r="M466" s="151">
        <v>45501</v>
      </c>
      <c r="N466" s="152">
        <v>45500.791666666664</v>
      </c>
      <c r="O466" s="152">
        <v>45500.791666666664</v>
      </c>
      <c r="P466" s="152">
        <v>45500.795138888891</v>
      </c>
      <c r="Q466" s="152">
        <v>45500.989583333336</v>
      </c>
      <c r="R466" s="152" t="s">
        <v>118</v>
      </c>
      <c r="S466" s="152">
        <v>45501.034722222219</v>
      </c>
      <c r="T466" s="152">
        <v>45501.0625</v>
      </c>
      <c r="U466" s="152">
        <v>45501.194444444445</v>
      </c>
      <c r="V466" s="219">
        <f t="shared" si="267"/>
        <v>0.19791666667151731</v>
      </c>
      <c r="W466" s="165">
        <v>0.20833333333333334</v>
      </c>
      <c r="X466" s="219" t="str">
        <f t="shared" si="268"/>
        <v>00:00</v>
      </c>
      <c r="Y466" s="96">
        <v>0</v>
      </c>
      <c r="Z466" s="96">
        <v>58</v>
      </c>
      <c r="AA466" s="96">
        <f t="shared" si="239"/>
        <v>58</v>
      </c>
      <c r="AB466" s="97">
        <f t="shared" si="240"/>
        <v>0</v>
      </c>
      <c r="AC466" s="97">
        <f t="shared" si="241"/>
        <v>4005.0700000000006</v>
      </c>
      <c r="AD466" s="98">
        <v>4005.07</v>
      </c>
      <c r="AE466" s="98">
        <v>3978.2</v>
      </c>
      <c r="AF466" s="98">
        <v>4013</v>
      </c>
      <c r="AG466" s="98">
        <f t="shared" si="242"/>
        <v>7.9299999999998363</v>
      </c>
      <c r="AH466" s="99">
        <v>672.5</v>
      </c>
      <c r="AI466" s="100">
        <f t="shared" si="243"/>
        <v>2698742.5</v>
      </c>
      <c r="AJ466" s="100">
        <f>(0*AH466)*2</f>
        <v>0</v>
      </c>
      <c r="AK466" s="100">
        <v>0</v>
      </c>
      <c r="AL466" s="100">
        <v>24140</v>
      </c>
      <c r="AM466" s="100">
        <v>0</v>
      </c>
      <c r="AN466" s="100">
        <v>0</v>
      </c>
      <c r="AO466" s="100">
        <v>0</v>
      </c>
      <c r="AP466" s="100">
        <f t="shared" si="269"/>
        <v>136145</v>
      </c>
      <c r="AQ466" s="101">
        <f t="shared" si="270"/>
        <v>2859028</v>
      </c>
      <c r="AR466" s="101">
        <v>0</v>
      </c>
      <c r="AS466" s="101">
        <v>0</v>
      </c>
      <c r="AT466" s="102" t="s">
        <v>33</v>
      </c>
      <c r="AU466" s="109">
        <v>18</v>
      </c>
      <c r="AV466" s="100">
        <f>47.23-30.73</f>
        <v>16.499999999999996</v>
      </c>
      <c r="AW466" s="105"/>
      <c r="AX466" s="216">
        <f t="shared" si="271"/>
        <v>0.19760777473211652</v>
      </c>
      <c r="AY466" s="217">
        <f t="shared" si="272"/>
        <v>5333</v>
      </c>
      <c r="AZ466" s="107"/>
      <c r="BA466" s="94">
        <v>45500.791666666664</v>
      </c>
      <c r="BB466" s="94">
        <v>45500.795138888891</v>
      </c>
      <c r="BC466" s="94">
        <v>45500.852777777778</v>
      </c>
      <c r="BD466" s="94">
        <v>45501.032638888886</v>
      </c>
      <c r="BE466" s="95">
        <f t="shared" si="273"/>
        <v>0.24097222222189885</v>
      </c>
      <c r="BF466" s="95">
        <v>7.3611111111111113E-2</v>
      </c>
      <c r="BG466" s="95">
        <v>1.9444444444444445E-2</v>
      </c>
      <c r="BH466" s="95">
        <f t="shared" si="274"/>
        <v>3.4722222262644209E-3</v>
      </c>
      <c r="BI466" s="95">
        <f t="shared" si="274"/>
        <v>5.7638888887595385E-2</v>
      </c>
      <c r="BJ466" s="95">
        <f t="shared" si="274"/>
        <v>0.17986111110803904</v>
      </c>
      <c r="BK466" s="95">
        <f t="shared" si="275"/>
        <v>0.23749999999563443</v>
      </c>
      <c r="BL466" s="95">
        <f t="shared" si="276"/>
        <v>0.14444444444007887</v>
      </c>
      <c r="BM466" s="95">
        <f t="shared" si="277"/>
        <v>3.2638888888565504E-2</v>
      </c>
      <c r="BN466" s="110"/>
    </row>
    <row r="467" spans="1:66" s="8" customFormat="1" ht="12.75" customHeight="1" x14ac:dyDescent="0.25">
      <c r="A467" s="150">
        <v>417</v>
      </c>
      <c r="B467" s="150">
        <v>88</v>
      </c>
      <c r="C467" s="90">
        <v>12</v>
      </c>
      <c r="D467" s="111" t="s">
        <v>113</v>
      </c>
      <c r="E467" s="210" t="s">
        <v>551</v>
      </c>
      <c r="F467" s="150" t="s">
        <v>29</v>
      </c>
      <c r="G467" s="150" t="s">
        <v>8</v>
      </c>
      <c r="H467" s="150" t="s">
        <v>124</v>
      </c>
      <c r="I467" s="150" t="s">
        <v>644</v>
      </c>
      <c r="J467" s="151"/>
      <c r="K467" s="135" t="s">
        <v>117</v>
      </c>
      <c r="L467" s="111">
        <v>261005870</v>
      </c>
      <c r="M467" s="151">
        <v>45501</v>
      </c>
      <c r="N467" s="152">
        <v>45500.989583333336</v>
      </c>
      <c r="O467" s="152">
        <v>45500.989583333336</v>
      </c>
      <c r="P467" s="152">
        <v>45500.993055555555</v>
      </c>
      <c r="Q467" s="152">
        <v>45501.197916666664</v>
      </c>
      <c r="R467" s="152" t="s">
        <v>118</v>
      </c>
      <c r="S467" s="152">
        <v>45501.239583333336</v>
      </c>
      <c r="T467" s="152">
        <v>45501.263888888891</v>
      </c>
      <c r="U467" s="152">
        <v>45501.361805555556</v>
      </c>
      <c r="V467" s="219">
        <f t="shared" si="267"/>
        <v>0.20833333332848269</v>
      </c>
      <c r="W467" s="165">
        <v>0.20833333333333334</v>
      </c>
      <c r="X467" s="219" t="str">
        <f t="shared" si="268"/>
        <v>00:00</v>
      </c>
      <c r="Y467" s="96">
        <v>0</v>
      </c>
      <c r="Z467" s="96">
        <v>59</v>
      </c>
      <c r="AA467" s="96">
        <f t="shared" si="239"/>
        <v>59</v>
      </c>
      <c r="AB467" s="97">
        <f t="shared" si="240"/>
        <v>0</v>
      </c>
      <c r="AC467" s="97">
        <f t="shared" si="241"/>
        <v>3976.36</v>
      </c>
      <c r="AD467" s="98">
        <v>3976.36</v>
      </c>
      <c r="AE467" s="98">
        <v>4049.6</v>
      </c>
      <c r="AF467" s="98">
        <v>4056.8</v>
      </c>
      <c r="AG467" s="98">
        <f t="shared" si="242"/>
        <v>80.440000000000055</v>
      </c>
      <c r="AH467" s="99">
        <v>797.2</v>
      </c>
      <c r="AI467" s="100">
        <f t="shared" si="243"/>
        <v>3234080.9600000004</v>
      </c>
      <c r="AJ467" s="100">
        <f>(0.4*AH467)*2</f>
        <v>637.7600000000001</v>
      </c>
      <c r="AK467" s="100">
        <v>0</v>
      </c>
      <c r="AL467" s="100">
        <v>0</v>
      </c>
      <c r="AM467" s="100">
        <v>0</v>
      </c>
      <c r="AN467" s="100">
        <v>0</v>
      </c>
      <c r="AO467" s="100">
        <v>0</v>
      </c>
      <c r="AP467" s="100">
        <f t="shared" si="269"/>
        <v>161736</v>
      </c>
      <c r="AQ467" s="101">
        <f t="shared" si="270"/>
        <v>3396455</v>
      </c>
      <c r="AR467" s="101">
        <v>0</v>
      </c>
      <c r="AS467" s="101">
        <v>0</v>
      </c>
      <c r="AT467" s="102" t="s">
        <v>33</v>
      </c>
      <c r="AU467" s="109" t="s">
        <v>118</v>
      </c>
      <c r="AV467" s="100">
        <v>0</v>
      </c>
      <c r="AW467" s="105"/>
      <c r="AX467" s="216">
        <f t="shared" si="271"/>
        <v>1.9828436205876567</v>
      </c>
      <c r="AY467" s="217">
        <f t="shared" si="272"/>
        <v>64127</v>
      </c>
      <c r="AZ467" s="107"/>
      <c r="BA467" s="94">
        <v>45500.989583333336</v>
      </c>
      <c r="BB467" s="94">
        <v>45500.993055555555</v>
      </c>
      <c r="BC467" s="94">
        <v>45501.091666666667</v>
      </c>
      <c r="BD467" s="94">
        <v>45501.240277777775</v>
      </c>
      <c r="BE467" s="95">
        <f t="shared" si="273"/>
        <v>0.25069444443943212</v>
      </c>
      <c r="BF467" s="95">
        <v>4.8611111111111112E-2</v>
      </c>
      <c r="BG467" s="95">
        <v>6.1111111111111109E-2</v>
      </c>
      <c r="BH467" s="95">
        <f t="shared" si="274"/>
        <v>3.4722222189884633E-3</v>
      </c>
      <c r="BI467" s="95">
        <f t="shared" si="274"/>
        <v>9.8611111112404615E-2</v>
      </c>
      <c r="BJ467" s="95">
        <f t="shared" si="274"/>
        <v>0.14861111110803904</v>
      </c>
      <c r="BK467" s="95">
        <f t="shared" si="275"/>
        <v>0.24722222222044365</v>
      </c>
      <c r="BL467" s="95">
        <f t="shared" si="276"/>
        <v>0.13749999999822143</v>
      </c>
      <c r="BM467" s="95">
        <f t="shared" si="277"/>
        <v>4.2361111106098776E-2</v>
      </c>
      <c r="BN467" s="110" t="s">
        <v>645</v>
      </c>
    </row>
    <row r="468" spans="1:66" s="8" customFormat="1" ht="12.75" customHeight="1" x14ac:dyDescent="0.25">
      <c r="A468" s="150">
        <v>418</v>
      </c>
      <c r="B468" s="150">
        <v>89</v>
      </c>
      <c r="C468" s="90">
        <v>9</v>
      </c>
      <c r="D468" s="111" t="s">
        <v>148</v>
      </c>
      <c r="E468" s="210" t="s">
        <v>632</v>
      </c>
      <c r="F468" s="150" t="s">
        <v>16</v>
      </c>
      <c r="G468" s="150" t="s">
        <v>17</v>
      </c>
      <c r="H468" s="150" t="s">
        <v>150</v>
      </c>
      <c r="I468" s="150" t="s">
        <v>646</v>
      </c>
      <c r="J468" s="151">
        <v>45500</v>
      </c>
      <c r="K468" s="135" t="s">
        <v>122</v>
      </c>
      <c r="L468" s="135">
        <v>461000388</v>
      </c>
      <c r="M468" s="151">
        <v>45501</v>
      </c>
      <c r="N468" s="152">
        <v>45501.270833333336</v>
      </c>
      <c r="O468" s="152">
        <v>45501.25</v>
      </c>
      <c r="P468" s="152">
        <v>45501.277777777781</v>
      </c>
      <c r="Q468" s="152">
        <v>45501.4375</v>
      </c>
      <c r="R468" s="152">
        <v>45501.270833333336</v>
      </c>
      <c r="S468" s="152" t="s">
        <v>118</v>
      </c>
      <c r="T468" s="152">
        <v>45501.5</v>
      </c>
      <c r="U468" s="152">
        <v>45501.743055555555</v>
      </c>
      <c r="V468" s="219">
        <f t="shared" si="267"/>
        <v>0.1875</v>
      </c>
      <c r="W468" s="165">
        <v>0.20833333333333334</v>
      </c>
      <c r="X468" s="219" t="str">
        <f t="shared" si="268"/>
        <v>00:00</v>
      </c>
      <c r="Y468" s="96">
        <v>0</v>
      </c>
      <c r="Z468" s="96">
        <v>59</v>
      </c>
      <c r="AA468" s="96">
        <f t="shared" si="239"/>
        <v>59</v>
      </c>
      <c r="AB468" s="97">
        <f t="shared" si="240"/>
        <v>0</v>
      </c>
      <c r="AC468" s="97">
        <f t="shared" si="241"/>
        <v>4016.27</v>
      </c>
      <c r="AD468" s="98">
        <v>4016.27</v>
      </c>
      <c r="AE468" s="98">
        <v>4033.3</v>
      </c>
      <c r="AF468" s="98">
        <v>4051.8</v>
      </c>
      <c r="AG468" s="98">
        <f t="shared" si="242"/>
        <v>35.5300000000002</v>
      </c>
      <c r="AH468" s="99">
        <v>672.5</v>
      </c>
      <c r="AI468" s="100">
        <f t="shared" si="243"/>
        <v>2724835.5</v>
      </c>
      <c r="AJ468" s="100">
        <f>(0*AH468)*2</f>
        <v>0</v>
      </c>
      <c r="AK468" s="100">
        <v>0</v>
      </c>
      <c r="AL468" s="100">
        <v>24290</v>
      </c>
      <c r="AM468" s="100">
        <v>0</v>
      </c>
      <c r="AN468" s="100">
        <v>0</v>
      </c>
      <c r="AO468" s="100">
        <v>0</v>
      </c>
      <c r="AP468" s="100">
        <f t="shared" si="269"/>
        <v>137457</v>
      </c>
      <c r="AQ468" s="101">
        <f t="shared" si="270"/>
        <v>2886583</v>
      </c>
      <c r="AR468" s="101">
        <v>0</v>
      </c>
      <c r="AS468" s="101">
        <v>0</v>
      </c>
      <c r="AT468" s="102" t="s">
        <v>33</v>
      </c>
      <c r="AU468" s="109">
        <v>12</v>
      </c>
      <c r="AV468" s="100">
        <f>26.03-16.03</f>
        <v>10</v>
      </c>
      <c r="AW468" s="105"/>
      <c r="AX468" s="216">
        <f t="shared" si="271"/>
        <v>0.87689421985290972</v>
      </c>
      <c r="AY468" s="217">
        <f t="shared" si="272"/>
        <v>23894</v>
      </c>
      <c r="AZ468" s="107"/>
      <c r="BA468" s="94">
        <v>45501.25</v>
      </c>
      <c r="BB468" s="94">
        <v>45501.277777777781</v>
      </c>
      <c r="BC468" s="94">
        <v>45501.298611111109</v>
      </c>
      <c r="BD468" s="94">
        <v>45501.427083333336</v>
      </c>
      <c r="BE468" s="95">
        <f t="shared" si="273"/>
        <v>0.17708333333575865</v>
      </c>
      <c r="BF468" s="95">
        <v>1.3888888888888888E-2</v>
      </c>
      <c r="BG468" s="95">
        <v>6.9444444444444441E-3</v>
      </c>
      <c r="BH468" s="95">
        <f t="shared" si="274"/>
        <v>2.7777777781011537E-2</v>
      </c>
      <c r="BI468" s="95">
        <f t="shared" si="274"/>
        <v>2.0833333328482695E-2</v>
      </c>
      <c r="BJ468" s="95">
        <f t="shared" si="274"/>
        <v>0.12847222222626442</v>
      </c>
      <c r="BK468" s="95">
        <f t="shared" si="275"/>
        <v>0.14930555555474712</v>
      </c>
      <c r="BL468" s="95">
        <f t="shared" si="276"/>
        <v>0.12847222222141377</v>
      </c>
      <c r="BM468" s="95" t="str">
        <f t="shared" si="277"/>
        <v>00:00</v>
      </c>
      <c r="BN468" s="110"/>
    </row>
    <row r="469" spans="1:66" s="8" customFormat="1" ht="12.75" customHeight="1" x14ac:dyDescent="0.25">
      <c r="A469" s="150">
        <v>419</v>
      </c>
      <c r="B469" s="150">
        <v>90</v>
      </c>
      <c r="C469" s="90">
        <v>10</v>
      </c>
      <c r="D469" s="111" t="s">
        <v>148</v>
      </c>
      <c r="E469" s="210" t="s">
        <v>632</v>
      </c>
      <c r="F469" s="150" t="s">
        <v>16</v>
      </c>
      <c r="G469" s="150" t="s">
        <v>17</v>
      </c>
      <c r="H469" s="150" t="s">
        <v>150</v>
      </c>
      <c r="I469" s="150" t="s">
        <v>647</v>
      </c>
      <c r="J469" s="151">
        <v>45500</v>
      </c>
      <c r="K469" s="135" t="s">
        <v>117</v>
      </c>
      <c r="L469" s="135">
        <v>461000389</v>
      </c>
      <c r="M469" s="151">
        <v>45502</v>
      </c>
      <c r="N469" s="211">
        <v>45501.666666666664</v>
      </c>
      <c r="O469" s="152">
        <v>45501.625</v>
      </c>
      <c r="P469" s="152">
        <v>45501.680555555555</v>
      </c>
      <c r="Q469" s="152">
        <v>45501.833333333336</v>
      </c>
      <c r="R469" s="211">
        <v>45501.666666666664</v>
      </c>
      <c r="S469" s="152" t="s">
        <v>118</v>
      </c>
      <c r="T469" s="152">
        <v>45501.916666666664</v>
      </c>
      <c r="U469" s="152">
        <v>45502.059027777781</v>
      </c>
      <c r="V469" s="219">
        <f t="shared" si="267"/>
        <v>0.20833333333575865</v>
      </c>
      <c r="W469" s="165">
        <v>0.20833333333333334</v>
      </c>
      <c r="X469" s="219">
        <f t="shared" si="268"/>
        <v>2.4253099528692701E-12</v>
      </c>
      <c r="Y469" s="96">
        <v>0</v>
      </c>
      <c r="Z469" s="96">
        <v>59</v>
      </c>
      <c r="AA469" s="96">
        <f t="shared" si="239"/>
        <v>59</v>
      </c>
      <c r="AB469" s="97">
        <f t="shared" si="240"/>
        <v>0</v>
      </c>
      <c r="AC469" s="97">
        <f t="shared" si="241"/>
        <v>4064.52</v>
      </c>
      <c r="AD469" s="98">
        <v>4064.52</v>
      </c>
      <c r="AE469" s="98">
        <v>4050.9</v>
      </c>
      <c r="AF469" s="98">
        <v>4077.2</v>
      </c>
      <c r="AG469" s="98">
        <f t="shared" si="242"/>
        <v>12.679999999999836</v>
      </c>
      <c r="AH469" s="99">
        <v>672.5</v>
      </c>
      <c r="AI469" s="100">
        <f t="shared" si="243"/>
        <v>2741917</v>
      </c>
      <c r="AJ469" s="100">
        <f>(0*AH469)*2</f>
        <v>0</v>
      </c>
      <c r="AK469" s="100">
        <v>0</v>
      </c>
      <c r="AL469" s="100">
        <v>24290</v>
      </c>
      <c r="AM469" s="100">
        <v>0</v>
      </c>
      <c r="AN469" s="100">
        <v>0</v>
      </c>
      <c r="AO469" s="100">
        <v>0</v>
      </c>
      <c r="AP469" s="100">
        <f t="shared" si="269"/>
        <v>138311</v>
      </c>
      <c r="AQ469" s="101">
        <f t="shared" si="270"/>
        <v>2904518</v>
      </c>
      <c r="AR469" s="101">
        <v>0</v>
      </c>
      <c r="AS469" s="101">
        <v>0</v>
      </c>
      <c r="AT469" s="102" t="s">
        <v>33</v>
      </c>
      <c r="AU469" s="109">
        <v>13</v>
      </c>
      <c r="AV469" s="100">
        <f>36.03-23.03</f>
        <v>13</v>
      </c>
      <c r="AW469" s="105"/>
      <c r="AX469" s="216">
        <f t="shared" si="271"/>
        <v>0.31099774354949072</v>
      </c>
      <c r="AY469" s="217">
        <f t="shared" si="272"/>
        <v>8528</v>
      </c>
      <c r="AZ469" s="107"/>
      <c r="BA469" s="94">
        <v>45501.666666666664</v>
      </c>
      <c r="BB469" s="94">
        <v>45501.680555555555</v>
      </c>
      <c r="BC469" s="94">
        <v>45501.690972222219</v>
      </c>
      <c r="BD469" s="94">
        <v>45501.866666666669</v>
      </c>
      <c r="BE469" s="95">
        <f t="shared" si="273"/>
        <v>0.20000000000436557</v>
      </c>
      <c r="BF469" s="95">
        <v>3.3333333333333333E-2</v>
      </c>
      <c r="BG469" s="95">
        <v>6.9444444444444441E-3</v>
      </c>
      <c r="BH469" s="95">
        <f t="shared" si="274"/>
        <v>1.3888888890505768E-2</v>
      </c>
      <c r="BI469" s="95">
        <f t="shared" si="274"/>
        <v>1.0416666664241347E-2</v>
      </c>
      <c r="BJ469" s="95">
        <f t="shared" si="274"/>
        <v>0.17569444444961846</v>
      </c>
      <c r="BK469" s="95">
        <f t="shared" si="275"/>
        <v>0.18611111111385981</v>
      </c>
      <c r="BL469" s="95">
        <f t="shared" si="276"/>
        <v>0.14583333333608203</v>
      </c>
      <c r="BM469" s="95" t="str">
        <f t="shared" si="277"/>
        <v>00:00</v>
      </c>
      <c r="BN469" s="110"/>
    </row>
    <row r="470" spans="1:66" s="8" customFormat="1" ht="12.75" customHeight="1" x14ac:dyDescent="0.25">
      <c r="A470" s="150">
        <v>420</v>
      </c>
      <c r="B470" s="150">
        <v>91</v>
      </c>
      <c r="C470" s="90">
        <v>11</v>
      </c>
      <c r="D470" s="111" t="s">
        <v>148</v>
      </c>
      <c r="E470" s="210" t="s">
        <v>632</v>
      </c>
      <c r="F470" s="150" t="s">
        <v>16</v>
      </c>
      <c r="G470" s="150" t="s">
        <v>17</v>
      </c>
      <c r="H470" s="150" t="s">
        <v>150</v>
      </c>
      <c r="I470" s="150" t="s">
        <v>648</v>
      </c>
      <c r="J470" s="151">
        <v>45500</v>
      </c>
      <c r="K470" s="135" t="s">
        <v>122</v>
      </c>
      <c r="L470" s="135">
        <v>461000390</v>
      </c>
      <c r="M470" s="151">
        <v>45502</v>
      </c>
      <c r="N470" s="220">
        <v>45501.8125</v>
      </c>
      <c r="O470" s="220">
        <v>45501.8125</v>
      </c>
      <c r="P470" s="152">
        <v>45501.815972222219</v>
      </c>
      <c r="Q470" s="152">
        <v>45501.993055555555</v>
      </c>
      <c r="R470" s="220" t="s">
        <v>118</v>
      </c>
      <c r="S470" s="152">
        <v>45502.052083333336</v>
      </c>
      <c r="T470" s="152">
        <v>45502.135416666664</v>
      </c>
      <c r="U470" s="152">
        <v>45502.225694444445</v>
      </c>
      <c r="V470" s="219">
        <f t="shared" si="267"/>
        <v>0.18055555555474712</v>
      </c>
      <c r="W470" s="165">
        <v>0.20833333333333334</v>
      </c>
      <c r="X470" s="219" t="str">
        <f t="shared" si="268"/>
        <v>00:00</v>
      </c>
      <c r="Y470" s="96">
        <v>0</v>
      </c>
      <c r="Z470" s="96">
        <v>59</v>
      </c>
      <c r="AA470" s="96">
        <f t="shared" si="239"/>
        <v>59</v>
      </c>
      <c r="AB470" s="97">
        <f t="shared" si="240"/>
        <v>0</v>
      </c>
      <c r="AC470" s="97">
        <f t="shared" si="241"/>
        <v>4055.8800000000006</v>
      </c>
      <c r="AD470" s="98">
        <v>4055.88</v>
      </c>
      <c r="AE470" s="98">
        <v>4049.5</v>
      </c>
      <c r="AF470" s="98">
        <v>4080.4</v>
      </c>
      <c r="AG470" s="98">
        <f t="shared" si="242"/>
        <v>24.519999999999982</v>
      </c>
      <c r="AH470" s="99">
        <v>672.5</v>
      </c>
      <c r="AI470" s="100">
        <f t="shared" si="243"/>
        <v>2744069</v>
      </c>
      <c r="AJ470" s="100">
        <f>(0*AH470)*2</f>
        <v>0</v>
      </c>
      <c r="AK470" s="100">
        <v>0</v>
      </c>
      <c r="AL470" s="100">
        <v>24290</v>
      </c>
      <c r="AM470" s="100">
        <v>0</v>
      </c>
      <c r="AN470" s="100">
        <v>0</v>
      </c>
      <c r="AO470" s="100">
        <v>0</v>
      </c>
      <c r="AP470" s="100">
        <f t="shared" si="269"/>
        <v>138418</v>
      </c>
      <c r="AQ470" s="101">
        <f t="shared" si="270"/>
        <v>2906777</v>
      </c>
      <c r="AR470" s="101">
        <v>0</v>
      </c>
      <c r="AS470" s="101">
        <v>0</v>
      </c>
      <c r="AT470" s="102" t="s">
        <v>33</v>
      </c>
      <c r="AU470" s="109">
        <v>16</v>
      </c>
      <c r="AV470" s="100">
        <f>43.6-27.1</f>
        <v>16.5</v>
      </c>
      <c r="AW470" s="105"/>
      <c r="AX470" s="216">
        <f t="shared" si="271"/>
        <v>0.60092147828644205</v>
      </c>
      <c r="AY470" s="217">
        <f t="shared" si="272"/>
        <v>16490</v>
      </c>
      <c r="AZ470" s="107"/>
      <c r="BA470" s="94">
        <v>45501.8125</v>
      </c>
      <c r="BB470" s="94">
        <v>45501.815972222219</v>
      </c>
      <c r="BC470" s="94">
        <v>45501.869444444441</v>
      </c>
      <c r="BD470" s="94">
        <v>45502.04583333333</v>
      </c>
      <c r="BE470" s="95">
        <f t="shared" si="273"/>
        <v>0.23333333332993789</v>
      </c>
      <c r="BF470" s="95">
        <v>4.5138888888888888E-2</v>
      </c>
      <c r="BG470" s="95">
        <v>5.347222222222222E-2</v>
      </c>
      <c r="BH470" s="95">
        <f t="shared" si="274"/>
        <v>3.4722222189884633E-3</v>
      </c>
      <c r="BI470" s="95">
        <f t="shared" si="274"/>
        <v>5.3472222221898846E-2</v>
      </c>
      <c r="BJ470" s="95">
        <f t="shared" si="274"/>
        <v>0.17638888888905058</v>
      </c>
      <c r="BK470" s="95">
        <f t="shared" si="275"/>
        <v>0.22986111111094942</v>
      </c>
      <c r="BL470" s="95">
        <f t="shared" si="276"/>
        <v>0.1312499999998383</v>
      </c>
      <c r="BM470" s="95">
        <f t="shared" si="277"/>
        <v>2.4999999996604544E-2</v>
      </c>
      <c r="BN470" s="110"/>
    </row>
    <row r="471" spans="1:66" s="8" customFormat="1" ht="12.75" customHeight="1" x14ac:dyDescent="0.25">
      <c r="A471" s="150">
        <v>421</v>
      </c>
      <c r="B471" s="150">
        <v>92</v>
      </c>
      <c r="C471" s="90">
        <v>12</v>
      </c>
      <c r="D471" s="111" t="s">
        <v>148</v>
      </c>
      <c r="E471" s="210" t="s">
        <v>632</v>
      </c>
      <c r="F471" s="150" t="s">
        <v>16</v>
      </c>
      <c r="G471" s="150" t="s">
        <v>17</v>
      </c>
      <c r="H471" s="150" t="s">
        <v>150</v>
      </c>
      <c r="I471" s="150" t="s">
        <v>649</v>
      </c>
      <c r="J471" s="151">
        <v>45500</v>
      </c>
      <c r="K471" s="135" t="s">
        <v>117</v>
      </c>
      <c r="L471" s="135">
        <v>461000391</v>
      </c>
      <c r="M471" s="151">
        <v>45502</v>
      </c>
      <c r="N471" s="220">
        <v>45502.125</v>
      </c>
      <c r="O471" s="220">
        <v>45502.125</v>
      </c>
      <c r="P471" s="152">
        <v>45502.128472222219</v>
      </c>
      <c r="Q471" s="152">
        <v>45502.333333333336</v>
      </c>
      <c r="R471" s="220" t="s">
        <v>118</v>
      </c>
      <c r="S471" s="152" t="s">
        <v>118</v>
      </c>
      <c r="T471" s="152">
        <v>45502.375</v>
      </c>
      <c r="U471" s="152">
        <v>45502.491666666669</v>
      </c>
      <c r="V471" s="219">
        <f t="shared" si="267"/>
        <v>0.20833333333575865</v>
      </c>
      <c r="W471" s="165">
        <v>0.20833333333333334</v>
      </c>
      <c r="X471" s="219">
        <f t="shared" si="268"/>
        <v>2.4253099528692701E-12</v>
      </c>
      <c r="Y471" s="96">
        <v>0</v>
      </c>
      <c r="Z471" s="96">
        <v>59</v>
      </c>
      <c r="AA471" s="96">
        <f t="shared" si="239"/>
        <v>59</v>
      </c>
      <c r="AB471" s="97">
        <f t="shared" si="240"/>
        <v>0</v>
      </c>
      <c r="AC471" s="97">
        <f t="shared" si="241"/>
        <v>4011.1600000000003</v>
      </c>
      <c r="AD471" s="98">
        <v>4011.16</v>
      </c>
      <c r="AE471" s="98">
        <v>4039.7</v>
      </c>
      <c r="AF471" s="98">
        <v>4050.4</v>
      </c>
      <c r="AG471" s="98">
        <f t="shared" si="242"/>
        <v>39.240000000000236</v>
      </c>
      <c r="AH471" s="99">
        <v>672.5</v>
      </c>
      <c r="AI471" s="100">
        <f t="shared" si="243"/>
        <v>2723894</v>
      </c>
      <c r="AJ471" s="100">
        <f>(1.2*AH471)*2</f>
        <v>1614</v>
      </c>
      <c r="AK471" s="100">
        <v>0</v>
      </c>
      <c r="AL471" s="100">
        <v>0</v>
      </c>
      <c r="AM471" s="100">
        <v>0</v>
      </c>
      <c r="AN471" s="100">
        <v>0</v>
      </c>
      <c r="AO471" s="100">
        <v>0</v>
      </c>
      <c r="AP471" s="100">
        <f t="shared" si="269"/>
        <v>136276</v>
      </c>
      <c r="AQ471" s="101">
        <f t="shared" si="270"/>
        <v>2861784</v>
      </c>
      <c r="AR471" s="101">
        <v>0</v>
      </c>
      <c r="AS471" s="101">
        <v>0</v>
      </c>
      <c r="AT471" s="102" t="s">
        <v>33</v>
      </c>
      <c r="AU471" s="109" t="s">
        <v>118</v>
      </c>
      <c r="AV471" s="100">
        <v>0</v>
      </c>
      <c r="AW471" s="105"/>
      <c r="AX471" s="216">
        <f t="shared" si="271"/>
        <v>0.96879320560932847</v>
      </c>
      <c r="AY471" s="217">
        <f t="shared" si="272"/>
        <v>26389</v>
      </c>
      <c r="AZ471" s="107"/>
      <c r="BA471" s="94">
        <v>45502.125</v>
      </c>
      <c r="BB471" s="94">
        <v>45502.128472222219</v>
      </c>
      <c r="BC471" s="94">
        <v>45502.128472222219</v>
      </c>
      <c r="BD471" s="94">
        <v>45502.304861111108</v>
      </c>
      <c r="BE471" s="95">
        <f t="shared" si="273"/>
        <v>0.17986111110803904</v>
      </c>
      <c r="BF471" s="95">
        <v>9.7222222222222224E-3</v>
      </c>
      <c r="BG471" s="95">
        <v>3.472222222222222E-3</v>
      </c>
      <c r="BH471" s="95">
        <f t="shared" si="274"/>
        <v>3.4722222189884633E-3</v>
      </c>
      <c r="BI471" s="95">
        <f t="shared" si="274"/>
        <v>0</v>
      </c>
      <c r="BJ471" s="95">
        <f t="shared" si="274"/>
        <v>0.17638888888905058</v>
      </c>
      <c r="BK471" s="95">
        <f t="shared" si="275"/>
        <v>0.17638888888905058</v>
      </c>
      <c r="BL471" s="95">
        <f t="shared" si="276"/>
        <v>0.16319444444460615</v>
      </c>
      <c r="BM471" s="95" t="str">
        <f t="shared" si="277"/>
        <v>00:00</v>
      </c>
      <c r="BN471" s="110"/>
    </row>
    <row r="472" spans="1:66" s="8" customFormat="1" ht="12.75" customHeight="1" x14ac:dyDescent="0.25">
      <c r="A472" s="150">
        <v>422</v>
      </c>
      <c r="B472" s="150">
        <v>93</v>
      </c>
      <c r="C472" s="90">
        <v>13</v>
      </c>
      <c r="D472" s="111" t="s">
        <v>148</v>
      </c>
      <c r="E472" s="210" t="s">
        <v>632</v>
      </c>
      <c r="F472" s="150" t="s">
        <v>16</v>
      </c>
      <c r="G472" s="150" t="s">
        <v>17</v>
      </c>
      <c r="H472" s="150" t="s">
        <v>150</v>
      </c>
      <c r="I472" s="150" t="s">
        <v>650</v>
      </c>
      <c r="J472" s="151">
        <v>45502</v>
      </c>
      <c r="K472" s="135" t="s">
        <v>122</v>
      </c>
      <c r="L472" s="135">
        <v>461000392</v>
      </c>
      <c r="M472" s="151">
        <v>45502</v>
      </c>
      <c r="N472" s="220">
        <v>45502.381944444445</v>
      </c>
      <c r="O472" s="220">
        <v>45502.381944444445</v>
      </c>
      <c r="P472" s="152">
        <v>45502.395833333336</v>
      </c>
      <c r="Q472" s="152">
        <v>45502.590277777781</v>
      </c>
      <c r="R472" s="220" t="s">
        <v>118</v>
      </c>
      <c r="S472" s="152">
        <v>45502.625</v>
      </c>
      <c r="T472" s="152">
        <v>45502.643055555556</v>
      </c>
      <c r="U472" s="152">
        <v>45502.716666666667</v>
      </c>
      <c r="V472" s="219">
        <f t="shared" si="267"/>
        <v>0.20833333333575865</v>
      </c>
      <c r="W472" s="165">
        <v>0.20833333333333334</v>
      </c>
      <c r="X472" s="219">
        <f t="shared" si="268"/>
        <v>2.4253099528692701E-12</v>
      </c>
      <c r="Y472" s="96">
        <v>0</v>
      </c>
      <c r="Z472" s="96">
        <v>59</v>
      </c>
      <c r="AA472" s="96">
        <f t="shared" si="239"/>
        <v>59</v>
      </c>
      <c r="AB472" s="97">
        <f t="shared" si="240"/>
        <v>0</v>
      </c>
      <c r="AC472" s="97">
        <f t="shared" si="241"/>
        <v>3933.85</v>
      </c>
      <c r="AD472" s="98">
        <v>3933.85</v>
      </c>
      <c r="AE472" s="98">
        <v>4028</v>
      </c>
      <c r="AF472" s="98">
        <v>4031.6</v>
      </c>
      <c r="AG472" s="98">
        <f t="shared" si="242"/>
        <v>97.75</v>
      </c>
      <c r="AH472" s="99">
        <v>672.5</v>
      </c>
      <c r="AI472" s="100">
        <f t="shared" si="243"/>
        <v>2711251</v>
      </c>
      <c r="AJ472" s="100">
        <f>(0.2*AH472)*2</f>
        <v>269</v>
      </c>
      <c r="AK472" s="100">
        <v>0</v>
      </c>
      <c r="AL472" s="100">
        <v>0</v>
      </c>
      <c r="AM472" s="100">
        <v>0</v>
      </c>
      <c r="AN472" s="100">
        <v>0</v>
      </c>
      <c r="AO472" s="100">
        <v>0</v>
      </c>
      <c r="AP472" s="100">
        <f t="shared" si="269"/>
        <v>135576</v>
      </c>
      <c r="AQ472" s="101">
        <f t="shared" si="270"/>
        <v>2847096</v>
      </c>
      <c r="AR472" s="101">
        <v>0</v>
      </c>
      <c r="AS472" s="101">
        <v>0</v>
      </c>
      <c r="AT472" s="102" t="s">
        <v>33</v>
      </c>
      <c r="AU472" s="109" t="s">
        <v>118</v>
      </c>
      <c r="AV472" s="100">
        <v>0</v>
      </c>
      <c r="AW472" s="105"/>
      <c r="AX472" s="216">
        <f t="shared" si="271"/>
        <v>2.4245956940172637</v>
      </c>
      <c r="AY472" s="217">
        <f t="shared" si="272"/>
        <v>65737</v>
      </c>
      <c r="AZ472" s="107"/>
      <c r="BA472" s="94">
        <v>45502.381944444445</v>
      </c>
      <c r="BB472" s="94">
        <v>45502.395833333336</v>
      </c>
      <c r="BC472" s="94">
        <v>45502.427083333336</v>
      </c>
      <c r="BD472" s="94">
        <v>45502.620833333334</v>
      </c>
      <c r="BE472" s="95">
        <f t="shared" si="273"/>
        <v>0.23888888888905058</v>
      </c>
      <c r="BF472" s="95">
        <v>7.0833333333333331E-2</v>
      </c>
      <c r="BG472" s="95">
        <v>0</v>
      </c>
      <c r="BH472" s="95">
        <f t="shared" si="274"/>
        <v>1.3888888890505768E-2</v>
      </c>
      <c r="BI472" s="95">
        <f t="shared" si="274"/>
        <v>3.125E-2</v>
      </c>
      <c r="BJ472" s="95">
        <f t="shared" si="274"/>
        <v>0.19374999999854481</v>
      </c>
      <c r="BK472" s="95">
        <f t="shared" si="275"/>
        <v>0.22499999999854481</v>
      </c>
      <c r="BL472" s="95">
        <f t="shared" si="276"/>
        <v>0.15416666666521148</v>
      </c>
      <c r="BM472" s="95">
        <f t="shared" si="277"/>
        <v>3.0555555555717234E-2</v>
      </c>
      <c r="BN472" s="110"/>
    </row>
    <row r="473" spans="1:66" s="8" customFormat="1" ht="12.75" customHeight="1" x14ac:dyDescent="0.25">
      <c r="A473" s="150">
        <v>423</v>
      </c>
      <c r="B473" s="150">
        <v>94</v>
      </c>
      <c r="C473" s="90">
        <v>4</v>
      </c>
      <c r="D473" s="111" t="s">
        <v>113</v>
      </c>
      <c r="E473" s="210" t="s">
        <v>596</v>
      </c>
      <c r="F473" s="150" t="s">
        <v>32</v>
      </c>
      <c r="G473" s="150" t="s">
        <v>15</v>
      </c>
      <c r="H473" s="150" t="s">
        <v>182</v>
      </c>
      <c r="I473" s="150" t="s">
        <v>651</v>
      </c>
      <c r="J473" s="151">
        <v>45502</v>
      </c>
      <c r="K473" s="135" t="s">
        <v>117</v>
      </c>
      <c r="L473" s="135">
        <v>261005875</v>
      </c>
      <c r="M473" s="151">
        <v>45503</v>
      </c>
      <c r="N473" s="220">
        <v>45502.635416666664</v>
      </c>
      <c r="O473" s="220">
        <v>45502.635416666664</v>
      </c>
      <c r="P473" s="152">
        <v>45502.638888888891</v>
      </c>
      <c r="Q473" s="152">
        <v>45502.84375</v>
      </c>
      <c r="R473" s="220" t="s">
        <v>118</v>
      </c>
      <c r="S473" s="152">
        <v>45502.868055555555</v>
      </c>
      <c r="T473" s="152">
        <v>45502.875</v>
      </c>
      <c r="U473" s="152">
        <v>45503.05972222222</v>
      </c>
      <c r="V473" s="219">
        <f t="shared" si="267"/>
        <v>0.20833333333575865</v>
      </c>
      <c r="W473" s="165">
        <v>0.20833333333333334</v>
      </c>
      <c r="X473" s="219">
        <f t="shared" si="268"/>
        <v>2.4253099528692701E-12</v>
      </c>
      <c r="Y473" s="96">
        <v>0</v>
      </c>
      <c r="Z473" s="96">
        <v>58</v>
      </c>
      <c r="AA473" s="96">
        <f t="shared" ref="AA473:AA536" si="278">+Y473+Z473</f>
        <v>58</v>
      </c>
      <c r="AB473" s="97">
        <f t="shared" ref="AB473:AB536" si="279">+AD473/AA473*Y473</f>
        <v>0</v>
      </c>
      <c r="AC473" s="97">
        <f t="shared" ref="AC473:AC536" si="280">+AD473/AA473*Z473</f>
        <v>3942.61</v>
      </c>
      <c r="AD473" s="98">
        <v>3942.61</v>
      </c>
      <c r="AE473" s="98">
        <v>3988.9</v>
      </c>
      <c r="AF473" s="98">
        <v>3995.6</v>
      </c>
      <c r="AG473" s="98">
        <f t="shared" ref="AG473:AG536" si="281">+AF473-AD473</f>
        <v>52.989999999999782</v>
      </c>
      <c r="AH473" s="99">
        <v>1484</v>
      </c>
      <c r="AI473" s="100">
        <f t="shared" ref="AI473:AI536" si="282">+AF473*AH473</f>
        <v>5929470.3999999994</v>
      </c>
      <c r="AJ473" s="100">
        <f>(0.2*AH473)*2</f>
        <v>593.6</v>
      </c>
      <c r="AK473" s="100">
        <v>0</v>
      </c>
      <c r="AL473" s="100">
        <v>0</v>
      </c>
      <c r="AM473" s="100">
        <v>0</v>
      </c>
      <c r="AN473" s="100">
        <v>0</v>
      </c>
      <c r="AO473" s="100">
        <v>0</v>
      </c>
      <c r="AP473" s="100">
        <f t="shared" si="269"/>
        <v>296504</v>
      </c>
      <c r="AQ473" s="101">
        <f t="shared" si="270"/>
        <v>6226568</v>
      </c>
      <c r="AR473" s="101">
        <v>0</v>
      </c>
      <c r="AS473" s="101">
        <v>0</v>
      </c>
      <c r="AT473" s="102" t="s">
        <v>33</v>
      </c>
      <c r="AU473" s="109" t="s">
        <v>118</v>
      </c>
      <c r="AV473" s="100">
        <v>0</v>
      </c>
      <c r="AW473" s="105"/>
      <c r="AX473" s="216">
        <f t="shared" si="271"/>
        <v>1.3262088297126784</v>
      </c>
      <c r="AY473" s="217">
        <f t="shared" si="272"/>
        <v>78638</v>
      </c>
      <c r="AZ473" s="107"/>
      <c r="BA473" s="94">
        <v>45502.635416666664</v>
      </c>
      <c r="BB473" s="94">
        <v>45502.638888888891</v>
      </c>
      <c r="BC473" s="94">
        <v>45502.6875</v>
      </c>
      <c r="BD473" s="94">
        <v>45502.86041666667</v>
      </c>
      <c r="BE473" s="95">
        <f t="shared" si="273"/>
        <v>0.22500000000582077</v>
      </c>
      <c r="BF473" s="95">
        <v>4.9305555555555554E-2</v>
      </c>
      <c r="BG473" s="95">
        <v>6.3194444444444442E-2</v>
      </c>
      <c r="BH473" s="95">
        <f t="shared" si="274"/>
        <v>3.4722222262644209E-3</v>
      </c>
      <c r="BI473" s="95">
        <f t="shared" si="274"/>
        <v>4.8611111109494232E-2</v>
      </c>
      <c r="BJ473" s="95">
        <f t="shared" si="274"/>
        <v>0.17291666667006211</v>
      </c>
      <c r="BK473" s="95">
        <f t="shared" si="275"/>
        <v>0.22152777777955635</v>
      </c>
      <c r="BL473" s="95">
        <f t="shared" si="276"/>
        <v>0.10902777777955636</v>
      </c>
      <c r="BM473" s="95">
        <f t="shared" si="277"/>
        <v>1.6666666672487424E-2</v>
      </c>
      <c r="BN473" s="110"/>
    </row>
    <row r="474" spans="1:66" s="8" customFormat="1" ht="12.75" customHeight="1" x14ac:dyDescent="0.25">
      <c r="A474" s="153">
        <v>424</v>
      </c>
      <c r="B474" s="150">
        <v>95</v>
      </c>
      <c r="C474" s="90">
        <v>14</v>
      </c>
      <c r="D474" s="111" t="s">
        <v>148</v>
      </c>
      <c r="E474" s="210" t="s">
        <v>632</v>
      </c>
      <c r="F474" s="150" t="s">
        <v>16</v>
      </c>
      <c r="G474" s="150" t="s">
        <v>17</v>
      </c>
      <c r="H474" s="150" t="s">
        <v>150</v>
      </c>
      <c r="I474" s="150" t="s">
        <v>652</v>
      </c>
      <c r="J474" s="151">
        <v>45502</v>
      </c>
      <c r="K474" s="135" t="s">
        <v>122</v>
      </c>
      <c r="L474" s="135">
        <v>461000393</v>
      </c>
      <c r="M474" s="151">
        <v>45503</v>
      </c>
      <c r="N474" s="220">
        <v>45502.895833333336</v>
      </c>
      <c r="O474" s="220">
        <v>45502.895833333336</v>
      </c>
      <c r="P474" s="152">
        <v>45502.902777777781</v>
      </c>
      <c r="Q474" s="152">
        <v>45503.104166666664</v>
      </c>
      <c r="R474" s="220" t="s">
        <v>118</v>
      </c>
      <c r="S474" s="152" t="s">
        <v>118</v>
      </c>
      <c r="T474" s="152">
        <v>45503.125</v>
      </c>
      <c r="U474" s="152">
        <v>45503.326388888891</v>
      </c>
      <c r="V474" s="219">
        <f t="shared" si="267"/>
        <v>0.20833333332848269</v>
      </c>
      <c r="W474" s="165">
        <v>0.20833333333333334</v>
      </c>
      <c r="X474" s="219" t="str">
        <f t="shared" si="268"/>
        <v>00:00</v>
      </c>
      <c r="Y474" s="96">
        <v>0</v>
      </c>
      <c r="Z474" s="96">
        <v>59</v>
      </c>
      <c r="AA474" s="96">
        <f t="shared" si="278"/>
        <v>59</v>
      </c>
      <c r="AB474" s="97">
        <f t="shared" si="279"/>
        <v>0</v>
      </c>
      <c r="AC474" s="97">
        <f t="shared" si="280"/>
        <v>4025.38</v>
      </c>
      <c r="AD474" s="98">
        <v>4025.38</v>
      </c>
      <c r="AE474" s="98">
        <v>4034.8</v>
      </c>
      <c r="AF474" s="98">
        <v>4054</v>
      </c>
      <c r="AG474" s="98">
        <f t="shared" si="281"/>
        <v>28.619999999999891</v>
      </c>
      <c r="AH474" s="99">
        <v>672.5</v>
      </c>
      <c r="AI474" s="100">
        <f t="shared" si="282"/>
        <v>2726315</v>
      </c>
      <c r="AJ474" s="100">
        <f>(0*AH474)*2</f>
        <v>0</v>
      </c>
      <c r="AK474" s="100">
        <v>0</v>
      </c>
      <c r="AL474" s="100">
        <v>24290</v>
      </c>
      <c r="AM474" s="100">
        <v>0</v>
      </c>
      <c r="AN474" s="100">
        <v>0</v>
      </c>
      <c r="AO474" s="100">
        <v>0</v>
      </c>
      <c r="AP474" s="100">
        <f t="shared" si="269"/>
        <v>137531</v>
      </c>
      <c r="AQ474" s="101">
        <f t="shared" si="270"/>
        <v>2888136</v>
      </c>
      <c r="AR474" s="101">
        <v>0</v>
      </c>
      <c r="AS474" s="101">
        <v>0</v>
      </c>
      <c r="AT474" s="102" t="s">
        <v>33</v>
      </c>
      <c r="AU474" s="109">
        <v>10</v>
      </c>
      <c r="AV474" s="100">
        <f>29.55-17.05</f>
        <v>12.5</v>
      </c>
      <c r="AW474" s="105"/>
      <c r="AX474" s="216">
        <f t="shared" si="271"/>
        <v>0.70596941292550297</v>
      </c>
      <c r="AY474" s="217">
        <f t="shared" si="272"/>
        <v>19247</v>
      </c>
      <c r="AZ474" s="107"/>
      <c r="BA474" s="94">
        <v>45502.895833333336</v>
      </c>
      <c r="BB474" s="94">
        <v>45502.902777777781</v>
      </c>
      <c r="BC474" s="94">
        <v>45502.902777777781</v>
      </c>
      <c r="BD474" s="94">
        <v>45503.12777777778</v>
      </c>
      <c r="BE474" s="95">
        <f t="shared" si="273"/>
        <v>0.23194444444379769</v>
      </c>
      <c r="BF474" s="95">
        <v>7.2222222222222215E-2</v>
      </c>
      <c r="BG474" s="95">
        <v>0</v>
      </c>
      <c r="BH474" s="95">
        <f t="shared" si="274"/>
        <v>6.9444444452528842E-3</v>
      </c>
      <c r="BI474" s="95">
        <f t="shared" si="274"/>
        <v>0</v>
      </c>
      <c r="BJ474" s="95">
        <f t="shared" si="274"/>
        <v>0.22499999999854481</v>
      </c>
      <c r="BK474" s="95">
        <f t="shared" si="275"/>
        <v>0.22499999999854481</v>
      </c>
      <c r="BL474" s="95">
        <f t="shared" si="276"/>
        <v>0.15277777777632259</v>
      </c>
      <c r="BM474" s="95">
        <f t="shared" si="277"/>
        <v>2.361111111046435E-2</v>
      </c>
      <c r="BN474" s="110"/>
    </row>
    <row r="475" spans="1:66" s="8" customFormat="1" ht="12.75" customHeight="1" x14ac:dyDescent="0.25">
      <c r="A475" s="115">
        <v>425</v>
      </c>
      <c r="B475" s="115">
        <v>96</v>
      </c>
      <c r="C475" s="90">
        <v>20</v>
      </c>
      <c r="D475" s="111" t="s">
        <v>148</v>
      </c>
      <c r="E475" s="210" t="s">
        <v>560</v>
      </c>
      <c r="F475" s="115" t="s">
        <v>19</v>
      </c>
      <c r="G475" s="115" t="s">
        <v>17</v>
      </c>
      <c r="H475" s="115" t="s">
        <v>150</v>
      </c>
      <c r="I475" s="115" t="s">
        <v>653</v>
      </c>
      <c r="J475" s="117">
        <v>45502</v>
      </c>
      <c r="K475" s="116" t="s">
        <v>117</v>
      </c>
      <c r="L475" s="116">
        <v>461000394</v>
      </c>
      <c r="M475" s="117">
        <v>45503</v>
      </c>
      <c r="N475" s="213">
        <v>45503.104166666664</v>
      </c>
      <c r="O475" s="213">
        <v>45503.104166666664</v>
      </c>
      <c r="P475" s="118">
        <v>45503.107638888891</v>
      </c>
      <c r="Q475" s="118">
        <v>45503.3125</v>
      </c>
      <c r="R475" s="213" t="s">
        <v>118</v>
      </c>
      <c r="S475" s="118">
        <v>45503.361111111109</v>
      </c>
      <c r="T475" s="118">
        <v>45503.375</v>
      </c>
      <c r="U475" s="118">
        <v>45503.426388888889</v>
      </c>
      <c r="V475" s="119">
        <f t="shared" si="267"/>
        <v>0.20833333333575865</v>
      </c>
      <c r="W475" s="119">
        <v>0.20833333333333334</v>
      </c>
      <c r="X475" s="119">
        <f t="shared" si="268"/>
        <v>2.4253099528692701E-12</v>
      </c>
      <c r="Y475" s="96">
        <v>1</v>
      </c>
      <c r="Z475" s="96">
        <v>29</v>
      </c>
      <c r="AA475" s="96">
        <f t="shared" si="278"/>
        <v>30</v>
      </c>
      <c r="AB475" s="97">
        <f t="shared" si="279"/>
        <v>67.037999999999997</v>
      </c>
      <c r="AC475" s="97">
        <f t="shared" si="280"/>
        <v>1944.1019999999999</v>
      </c>
      <c r="AD475" s="98">
        <f>3973.67-1962.53</f>
        <v>2011.14</v>
      </c>
      <c r="AE475" s="98">
        <f>3988.3-1926.8</f>
        <v>2061.5</v>
      </c>
      <c r="AF475" s="98">
        <f>4004.6-1935.61</f>
        <v>2068.9899999999998</v>
      </c>
      <c r="AG475" s="98">
        <f t="shared" si="281"/>
        <v>57.849999999999682</v>
      </c>
      <c r="AH475" s="99">
        <v>672.5</v>
      </c>
      <c r="AI475" s="100">
        <f t="shared" si="282"/>
        <v>1391395.7749999999</v>
      </c>
      <c r="AJ475" s="100">
        <f>(2.6*AH475)*2</f>
        <v>3497</v>
      </c>
      <c r="AK475" s="100">
        <v>0</v>
      </c>
      <c r="AL475" s="100">
        <v>0</v>
      </c>
      <c r="AM475" s="100">
        <v>0</v>
      </c>
      <c r="AN475" s="100">
        <v>0</v>
      </c>
      <c r="AO475" s="100">
        <v>0</v>
      </c>
      <c r="AP475" s="100">
        <f t="shared" si="269"/>
        <v>69745</v>
      </c>
      <c r="AQ475" s="101">
        <f t="shared" si="270"/>
        <v>1464638</v>
      </c>
      <c r="AR475" s="101">
        <v>0</v>
      </c>
      <c r="AS475" s="101">
        <v>0</v>
      </c>
      <c r="AT475" s="102" t="s">
        <v>33</v>
      </c>
      <c r="AU475" s="120" t="s">
        <v>118</v>
      </c>
      <c r="AV475" s="121">
        <v>0</v>
      </c>
      <c r="AW475" s="105"/>
      <c r="AX475" s="140">
        <f>IFERROR(((AG475+AG476)/(AF475+AF476))*100, "")</f>
        <v>0.77236178394844957</v>
      </c>
      <c r="AY475" s="141">
        <f>ROUNDUP((AG475+AG476)*AH475,0)</f>
        <v>20801</v>
      </c>
      <c r="AZ475" s="107"/>
      <c r="BA475" s="118">
        <v>45503.114583333336</v>
      </c>
      <c r="BB475" s="118">
        <v>45503.118055555555</v>
      </c>
      <c r="BC475" s="118">
        <v>45503.166666666664</v>
      </c>
      <c r="BD475" s="118">
        <v>45503.35833333333</v>
      </c>
      <c r="BE475" s="119">
        <f t="shared" si="273"/>
        <v>0.24374999999417923</v>
      </c>
      <c r="BF475" s="119">
        <v>5.9722222222222225E-2</v>
      </c>
      <c r="BG475" s="119">
        <v>2.361111111111111E-2</v>
      </c>
      <c r="BH475" s="119">
        <f t="shared" si="274"/>
        <v>3.4722222189884633E-3</v>
      </c>
      <c r="BI475" s="119">
        <f t="shared" si="274"/>
        <v>4.8611111109494232E-2</v>
      </c>
      <c r="BJ475" s="119">
        <f t="shared" si="274"/>
        <v>0.19166666666569654</v>
      </c>
      <c r="BK475" s="119">
        <f t="shared" si="275"/>
        <v>0.24027777777519077</v>
      </c>
      <c r="BL475" s="119">
        <f t="shared" si="276"/>
        <v>0.15694444444185743</v>
      </c>
      <c r="BM475" s="119">
        <f t="shared" si="277"/>
        <v>3.5416666660845891E-2</v>
      </c>
      <c r="BN475" s="110" t="s">
        <v>654</v>
      </c>
    </row>
    <row r="476" spans="1:66" s="8" customFormat="1" ht="12.75" customHeight="1" x14ac:dyDescent="0.25">
      <c r="A476" s="122"/>
      <c r="B476" s="122"/>
      <c r="C476" s="90">
        <v>1</v>
      </c>
      <c r="D476" s="111" t="s">
        <v>148</v>
      </c>
      <c r="E476" s="210" t="s">
        <v>655</v>
      </c>
      <c r="F476" s="122"/>
      <c r="G476" s="122"/>
      <c r="H476" s="122"/>
      <c r="I476" s="122"/>
      <c r="J476" s="124"/>
      <c r="K476" s="123"/>
      <c r="L476" s="123"/>
      <c r="M476" s="124"/>
      <c r="N476" s="221"/>
      <c r="O476" s="221"/>
      <c r="P476" s="125"/>
      <c r="Q476" s="125"/>
      <c r="R476" s="221"/>
      <c r="S476" s="125"/>
      <c r="T476" s="125"/>
      <c r="U476" s="125"/>
      <c r="V476" s="126"/>
      <c r="W476" s="126"/>
      <c r="X476" s="126"/>
      <c r="Y476" s="96">
        <v>0</v>
      </c>
      <c r="Z476" s="96">
        <v>28</v>
      </c>
      <c r="AA476" s="96">
        <f t="shared" si="278"/>
        <v>28</v>
      </c>
      <c r="AB476" s="97">
        <f t="shared" si="279"/>
        <v>0</v>
      </c>
      <c r="AC476" s="97">
        <f t="shared" si="280"/>
        <v>1962.53</v>
      </c>
      <c r="AD476" s="98">
        <v>1962.53</v>
      </c>
      <c r="AE476" s="98">
        <v>1926.8</v>
      </c>
      <c r="AF476" s="98">
        <v>1935.61</v>
      </c>
      <c r="AG476" s="98">
        <f t="shared" si="281"/>
        <v>-26.920000000000073</v>
      </c>
      <c r="AH476" s="99">
        <v>672.5</v>
      </c>
      <c r="AI476" s="100">
        <f t="shared" si="282"/>
        <v>1301697.7249999999</v>
      </c>
      <c r="AJ476" s="100">
        <f>(0*AH476)*2</f>
        <v>0</v>
      </c>
      <c r="AK476" s="100">
        <v>0</v>
      </c>
      <c r="AL476" s="100">
        <v>0</v>
      </c>
      <c r="AM476" s="100">
        <v>0</v>
      </c>
      <c r="AN476" s="100">
        <v>0</v>
      </c>
      <c r="AO476" s="100">
        <v>0</v>
      </c>
      <c r="AP476" s="100">
        <f t="shared" si="269"/>
        <v>65085</v>
      </c>
      <c r="AQ476" s="101">
        <f t="shared" si="270"/>
        <v>1366783</v>
      </c>
      <c r="AR476" s="101">
        <v>0</v>
      </c>
      <c r="AS476" s="101">
        <v>0</v>
      </c>
      <c r="AT476" s="102" t="s">
        <v>33</v>
      </c>
      <c r="AU476" s="127"/>
      <c r="AV476" s="128"/>
      <c r="AW476" s="105"/>
      <c r="AX476" s="144"/>
      <c r="AY476" s="145"/>
      <c r="AZ476" s="107"/>
      <c r="BA476" s="125"/>
      <c r="BB476" s="125"/>
      <c r="BC476" s="125"/>
      <c r="BD476" s="125"/>
      <c r="BE476" s="126"/>
      <c r="BF476" s="126"/>
      <c r="BG476" s="126"/>
      <c r="BH476" s="126"/>
      <c r="BI476" s="126"/>
      <c r="BJ476" s="126"/>
      <c r="BK476" s="126"/>
      <c r="BL476" s="126"/>
      <c r="BM476" s="126"/>
      <c r="BN476" s="110" t="s">
        <v>656</v>
      </c>
    </row>
    <row r="477" spans="1:66" s="8" customFormat="1" ht="12.75" customHeight="1" x14ac:dyDescent="0.25">
      <c r="A477" s="150">
        <v>426</v>
      </c>
      <c r="B477" s="150">
        <v>97</v>
      </c>
      <c r="C477" s="90">
        <v>2</v>
      </c>
      <c r="D477" s="111" t="s">
        <v>148</v>
      </c>
      <c r="E477" s="210" t="s">
        <v>655</v>
      </c>
      <c r="F477" s="150" t="s">
        <v>19</v>
      </c>
      <c r="G477" s="150" t="s">
        <v>17</v>
      </c>
      <c r="H477" s="150" t="s">
        <v>150</v>
      </c>
      <c r="I477" s="150" t="s">
        <v>657</v>
      </c>
      <c r="J477" s="151">
        <v>45502</v>
      </c>
      <c r="K477" s="135" t="s">
        <v>122</v>
      </c>
      <c r="L477" s="135">
        <v>461000395</v>
      </c>
      <c r="M477" s="151">
        <v>45504</v>
      </c>
      <c r="N477" s="220">
        <v>45503.75</v>
      </c>
      <c r="O477" s="220">
        <v>45503.75</v>
      </c>
      <c r="P477" s="152">
        <v>45503.756944444445</v>
      </c>
      <c r="Q477" s="152">
        <v>45503.9375</v>
      </c>
      <c r="R477" s="220" t="s">
        <v>118</v>
      </c>
      <c r="S477" s="152" t="s">
        <v>118</v>
      </c>
      <c r="T477" s="152">
        <v>45503.958333333336</v>
      </c>
      <c r="U477" s="152">
        <v>45504.040972222225</v>
      </c>
      <c r="V477" s="219">
        <f>+Q477-O477</f>
        <v>0.1875</v>
      </c>
      <c r="W477" s="165">
        <v>0.20833333333333334</v>
      </c>
      <c r="X477" s="219" t="str">
        <f>IF(VALUE(V477)&lt;=VALUE("05:00"),"00:00",VALUE(V477)-VALUE("05:00"))</f>
        <v>00:00</v>
      </c>
      <c r="Y477" s="96">
        <v>7</v>
      </c>
      <c r="Z477" s="96">
        <v>51</v>
      </c>
      <c r="AA477" s="96">
        <f t="shared" si="278"/>
        <v>58</v>
      </c>
      <c r="AB477" s="97">
        <f t="shared" si="279"/>
        <v>473.98206896551733</v>
      </c>
      <c r="AC477" s="97">
        <f t="shared" si="280"/>
        <v>3453.2979310344831</v>
      </c>
      <c r="AD477" s="98">
        <v>3927.28</v>
      </c>
      <c r="AE477" s="98">
        <v>3965.8</v>
      </c>
      <c r="AF477" s="98">
        <v>3975.2</v>
      </c>
      <c r="AG477" s="98">
        <f t="shared" si="281"/>
        <v>47.919999999999618</v>
      </c>
      <c r="AH477" s="99">
        <v>672.5</v>
      </c>
      <c r="AI477" s="100">
        <f t="shared" si="282"/>
        <v>2673322</v>
      </c>
      <c r="AJ477" s="100">
        <f>(0.4*AH477)*2</f>
        <v>538</v>
      </c>
      <c r="AK477" s="100">
        <v>0</v>
      </c>
      <c r="AL477" s="100">
        <v>0</v>
      </c>
      <c r="AM477" s="100">
        <v>0</v>
      </c>
      <c r="AN477" s="100">
        <v>0</v>
      </c>
      <c r="AO477" s="100">
        <v>0</v>
      </c>
      <c r="AP477" s="100">
        <f t="shared" si="269"/>
        <v>133693</v>
      </c>
      <c r="AQ477" s="101">
        <f t="shared" si="270"/>
        <v>2807553</v>
      </c>
      <c r="AR477" s="101">
        <v>0</v>
      </c>
      <c r="AS477" s="101">
        <v>0</v>
      </c>
      <c r="AT477" s="102" t="s">
        <v>33</v>
      </c>
      <c r="AU477" s="109" t="s">
        <v>118</v>
      </c>
      <c r="AV477" s="222">
        <v>0</v>
      </c>
      <c r="AW477" s="105"/>
      <c r="AX477" s="216">
        <f>IFERROR((AG477/AF477)*100, "")</f>
        <v>1.2054739384181832</v>
      </c>
      <c r="AY477" s="217">
        <f>ROUNDUP(AG477*AH477,0)</f>
        <v>32227</v>
      </c>
      <c r="AZ477" s="107"/>
      <c r="BA477" s="94">
        <v>45503.75</v>
      </c>
      <c r="BB477" s="94">
        <v>45503.756944444445</v>
      </c>
      <c r="BC477" s="94">
        <v>45503.763888888891</v>
      </c>
      <c r="BD477" s="94">
        <v>45503.894444444442</v>
      </c>
      <c r="BE477" s="95">
        <f>+BD477-BA477</f>
        <v>0.1444444444423425</v>
      </c>
      <c r="BF477" s="95">
        <v>2.2916666666666665E-2</v>
      </c>
      <c r="BG477" s="95">
        <v>1.3888888888888889E-3</v>
      </c>
      <c r="BH477" s="95">
        <f t="shared" ref="BH477:BJ481" si="283">+BB477-BA477</f>
        <v>6.9444444452528842E-3</v>
      </c>
      <c r="BI477" s="95">
        <f t="shared" si="283"/>
        <v>6.9444444452528842E-3</v>
      </c>
      <c r="BJ477" s="95">
        <f t="shared" si="283"/>
        <v>0.13055555555183673</v>
      </c>
      <c r="BK477" s="95">
        <f>+BI477+BJ477</f>
        <v>0.13749999999708962</v>
      </c>
      <c r="BL477" s="95">
        <f>+BE477-BH477-BF477-BG477</f>
        <v>0.11319444444153406</v>
      </c>
      <c r="BM477" s="95" t="str">
        <f>IF(VALUE(BE477)&lt;=VALUE("05:00"),"00:00",VALUE(BE477)-VALUE("05:00"))</f>
        <v>00:00</v>
      </c>
      <c r="BN477" s="110"/>
    </row>
    <row r="478" spans="1:66" s="8" customFormat="1" ht="12.75" customHeight="1" x14ac:dyDescent="0.25">
      <c r="A478" s="150">
        <v>427</v>
      </c>
      <c r="B478" s="150">
        <v>98</v>
      </c>
      <c r="C478" s="90">
        <v>3</v>
      </c>
      <c r="D478" s="111" t="s">
        <v>148</v>
      </c>
      <c r="E478" s="210" t="s">
        <v>655</v>
      </c>
      <c r="F478" s="150" t="s">
        <v>19</v>
      </c>
      <c r="G478" s="150" t="s">
        <v>17</v>
      </c>
      <c r="H478" s="150" t="s">
        <v>150</v>
      </c>
      <c r="I478" s="150" t="s">
        <v>658</v>
      </c>
      <c r="J478" s="151">
        <v>45503</v>
      </c>
      <c r="K478" s="135" t="s">
        <v>117</v>
      </c>
      <c r="L478" s="135">
        <v>461000396</v>
      </c>
      <c r="M478" s="151">
        <v>45504</v>
      </c>
      <c r="N478" s="220">
        <v>45503.96875</v>
      </c>
      <c r="O478" s="220">
        <v>45503.96875</v>
      </c>
      <c r="P478" s="152">
        <v>45503.972222222219</v>
      </c>
      <c r="Q478" s="152">
        <v>45504.177083333336</v>
      </c>
      <c r="R478" s="220" t="s">
        <v>118</v>
      </c>
      <c r="S478" s="152" t="s">
        <v>118</v>
      </c>
      <c r="T478" s="152">
        <v>45504.34375</v>
      </c>
      <c r="U478" s="152">
        <v>45504.386805555558</v>
      </c>
      <c r="V478" s="219">
        <f>+Q478-O478</f>
        <v>0.20833333333575865</v>
      </c>
      <c r="W478" s="165">
        <v>0.20833333333333334</v>
      </c>
      <c r="X478" s="219">
        <f>IF(VALUE(V478)&lt;=VALUE("05:00"),"00:00",VALUE(V478)-VALUE("05:00"))</f>
        <v>2.4253099528692701E-12</v>
      </c>
      <c r="Y478" s="96">
        <v>9</v>
      </c>
      <c r="Z478" s="96">
        <v>49</v>
      </c>
      <c r="AA478" s="96">
        <f t="shared" si="278"/>
        <v>58</v>
      </c>
      <c r="AB478" s="97">
        <f t="shared" si="279"/>
        <v>607.94534482758615</v>
      </c>
      <c r="AC478" s="97">
        <f t="shared" si="280"/>
        <v>3309.9246551724136</v>
      </c>
      <c r="AD478" s="98">
        <v>3917.87</v>
      </c>
      <c r="AE478" s="98">
        <v>3970.6</v>
      </c>
      <c r="AF478" s="98">
        <v>3978.4</v>
      </c>
      <c r="AG478" s="98">
        <f t="shared" si="281"/>
        <v>60.5300000000002</v>
      </c>
      <c r="AH478" s="99">
        <v>672.5</v>
      </c>
      <c r="AI478" s="100">
        <f t="shared" si="282"/>
        <v>2675474</v>
      </c>
      <c r="AJ478" s="100">
        <f>(0*AH478)*2</f>
        <v>0</v>
      </c>
      <c r="AK478" s="100">
        <v>0</v>
      </c>
      <c r="AL478" s="100">
        <v>0</v>
      </c>
      <c r="AM478" s="100">
        <v>0</v>
      </c>
      <c r="AN478" s="100">
        <v>0</v>
      </c>
      <c r="AO478" s="100">
        <v>0</v>
      </c>
      <c r="AP478" s="100">
        <f t="shared" si="269"/>
        <v>133774</v>
      </c>
      <c r="AQ478" s="101">
        <f t="shared" si="270"/>
        <v>2809248</v>
      </c>
      <c r="AR478" s="101">
        <v>0</v>
      </c>
      <c r="AS478" s="101">
        <v>0</v>
      </c>
      <c r="AT478" s="102" t="s">
        <v>33</v>
      </c>
      <c r="AU478" s="109" t="s">
        <v>118</v>
      </c>
      <c r="AV478" s="222">
        <v>0</v>
      </c>
      <c r="AW478" s="105"/>
      <c r="AX478" s="216">
        <f>IFERROR((AG478/AF478)*100, "")</f>
        <v>1.5214659159461141</v>
      </c>
      <c r="AY478" s="217">
        <f>ROUNDUP(AG478*AH478,0)</f>
        <v>40707</v>
      </c>
      <c r="AZ478" s="107"/>
      <c r="BA478" s="94">
        <v>45503.96875</v>
      </c>
      <c r="BB478" s="94">
        <v>45503.972222222219</v>
      </c>
      <c r="BC478" s="94">
        <v>45503.975694444445</v>
      </c>
      <c r="BD478" s="94">
        <v>45504.131944444445</v>
      </c>
      <c r="BE478" s="95">
        <f>+BD478-BA478</f>
        <v>0.16319444444525288</v>
      </c>
      <c r="BF478" s="95">
        <v>3.2638888888888891E-2</v>
      </c>
      <c r="BG478" s="95">
        <v>6.2500000000000003E-3</v>
      </c>
      <c r="BH478" s="95">
        <f t="shared" si="283"/>
        <v>3.4722222189884633E-3</v>
      </c>
      <c r="BI478" s="95">
        <f t="shared" si="283"/>
        <v>3.4722222262644209E-3</v>
      </c>
      <c r="BJ478" s="95">
        <f t="shared" si="283"/>
        <v>0.15625</v>
      </c>
      <c r="BK478" s="95">
        <f>+BI478+BJ478</f>
        <v>0.15972222222626442</v>
      </c>
      <c r="BL478" s="95">
        <f>+BE478-BH478-BF478-BG478</f>
        <v>0.12083333333737553</v>
      </c>
      <c r="BM478" s="95" t="str">
        <f>IF(VALUE(BE478)&lt;=VALUE("05:00"),"00:00",VALUE(BE478)-VALUE("05:00"))</f>
        <v>00:00</v>
      </c>
      <c r="BN478" s="110"/>
    </row>
    <row r="479" spans="1:66" s="8" customFormat="1" ht="12.75" customHeight="1" x14ac:dyDescent="0.25">
      <c r="A479" s="150">
        <v>428</v>
      </c>
      <c r="B479" s="150">
        <v>99</v>
      </c>
      <c r="C479" s="90">
        <v>4</v>
      </c>
      <c r="D479" s="111" t="s">
        <v>148</v>
      </c>
      <c r="E479" s="210" t="s">
        <v>655</v>
      </c>
      <c r="F479" s="150" t="s">
        <v>19</v>
      </c>
      <c r="G479" s="150" t="s">
        <v>17</v>
      </c>
      <c r="H479" s="150" t="s">
        <v>150</v>
      </c>
      <c r="I479" s="150" t="s">
        <v>659</v>
      </c>
      <c r="J479" s="151">
        <v>45503</v>
      </c>
      <c r="K479" s="135" t="s">
        <v>122</v>
      </c>
      <c r="L479" s="135">
        <v>461000397</v>
      </c>
      <c r="M479" s="151">
        <v>45504</v>
      </c>
      <c r="N479" s="220">
        <v>45504.125</v>
      </c>
      <c r="O479" s="220">
        <v>45504.125</v>
      </c>
      <c r="P479" s="152">
        <v>45504.128472222219</v>
      </c>
      <c r="Q479" s="152">
        <v>45504.333333333336</v>
      </c>
      <c r="R479" s="220" t="s">
        <v>118</v>
      </c>
      <c r="S479" s="152">
        <v>45504.375</v>
      </c>
      <c r="T479" s="152">
        <v>45504.5625</v>
      </c>
      <c r="U479" s="152">
        <v>45504.613194444442</v>
      </c>
      <c r="V479" s="219">
        <f>+Q479-O479</f>
        <v>0.20833333333575865</v>
      </c>
      <c r="W479" s="165">
        <v>0.20833333333333334</v>
      </c>
      <c r="X479" s="219">
        <f>IF(VALUE(V479)&lt;=VALUE("05:00"),"00:00",VALUE(V479)-VALUE("05:00"))</f>
        <v>2.4253099528692701E-12</v>
      </c>
      <c r="Y479" s="96">
        <v>0</v>
      </c>
      <c r="Z479" s="96">
        <v>58</v>
      </c>
      <c r="AA479" s="96">
        <f t="shared" si="278"/>
        <v>58</v>
      </c>
      <c r="AB479" s="97">
        <f t="shared" si="279"/>
        <v>0</v>
      </c>
      <c r="AC479" s="97">
        <f t="shared" si="280"/>
        <v>3960.6400000000003</v>
      </c>
      <c r="AD479" s="98">
        <v>3960.64</v>
      </c>
      <c r="AE479" s="98">
        <v>3983.8</v>
      </c>
      <c r="AF479" s="98">
        <v>3995.8</v>
      </c>
      <c r="AG479" s="98">
        <f t="shared" si="281"/>
        <v>35.160000000000309</v>
      </c>
      <c r="AH479" s="99">
        <v>672.5</v>
      </c>
      <c r="AI479" s="100">
        <f t="shared" si="282"/>
        <v>2687175.5</v>
      </c>
      <c r="AJ479" s="100">
        <f>(1.6*AH479)*2</f>
        <v>2152</v>
      </c>
      <c r="AK479" s="100">
        <v>0</v>
      </c>
      <c r="AL479" s="100">
        <v>0</v>
      </c>
      <c r="AM479" s="100">
        <v>0</v>
      </c>
      <c r="AN479" s="100">
        <v>0</v>
      </c>
      <c r="AO479" s="100">
        <v>0</v>
      </c>
      <c r="AP479" s="100">
        <f t="shared" si="269"/>
        <v>134467</v>
      </c>
      <c r="AQ479" s="101">
        <f t="shared" si="270"/>
        <v>2823795</v>
      </c>
      <c r="AR479" s="101">
        <v>0</v>
      </c>
      <c r="AS479" s="101">
        <v>0</v>
      </c>
      <c r="AT479" s="102" t="s">
        <v>33</v>
      </c>
      <c r="AU479" s="109" t="s">
        <v>118</v>
      </c>
      <c r="AV479" s="222">
        <v>0</v>
      </c>
      <c r="AW479" s="105"/>
      <c r="AX479" s="216">
        <f>IFERROR((AG479/AF479)*100, "")</f>
        <v>0.87992392011612963</v>
      </c>
      <c r="AY479" s="217">
        <f>ROUNDUP(AG479*AH479,0)</f>
        <v>23646</v>
      </c>
      <c r="AZ479" s="107"/>
      <c r="BA479" s="94">
        <v>45504.125</v>
      </c>
      <c r="BB479" s="94">
        <v>45504.128472222219</v>
      </c>
      <c r="BC479" s="94">
        <v>45504.166666666664</v>
      </c>
      <c r="BD479" s="94">
        <v>45504.368055555555</v>
      </c>
      <c r="BE479" s="95">
        <f>+BD479-BA479</f>
        <v>0.24305555555474712</v>
      </c>
      <c r="BF479" s="95">
        <v>8.8888888888888892E-2</v>
      </c>
      <c r="BG479" s="95">
        <v>3.472222222222222E-3</v>
      </c>
      <c r="BH479" s="95">
        <f t="shared" si="283"/>
        <v>3.4722222189884633E-3</v>
      </c>
      <c r="BI479" s="95">
        <f t="shared" si="283"/>
        <v>3.8194444445252884E-2</v>
      </c>
      <c r="BJ479" s="95">
        <f t="shared" si="283"/>
        <v>0.20138888889050577</v>
      </c>
      <c r="BK479" s="95">
        <f>+BI479+BJ479</f>
        <v>0.23958333333575865</v>
      </c>
      <c r="BL479" s="95">
        <f>+BE479-BH479-BF479-BG479</f>
        <v>0.14722222222464754</v>
      </c>
      <c r="BM479" s="95">
        <f>IF(VALUE(BE479)&lt;=VALUE("05:00"),"00:00",VALUE(BE479)-VALUE("05:00"))</f>
        <v>3.4722222221413773E-2</v>
      </c>
      <c r="BN479" s="110"/>
    </row>
    <row r="480" spans="1:66" s="8" customFormat="1" ht="12.75" customHeight="1" x14ac:dyDescent="0.25">
      <c r="A480" s="153">
        <v>429</v>
      </c>
      <c r="B480" s="150">
        <v>100</v>
      </c>
      <c r="C480" s="90">
        <v>13</v>
      </c>
      <c r="D480" s="111" t="s">
        <v>113</v>
      </c>
      <c r="E480" s="210" t="s">
        <v>551</v>
      </c>
      <c r="F480" s="150" t="s">
        <v>29</v>
      </c>
      <c r="G480" s="150" t="s">
        <v>8</v>
      </c>
      <c r="H480" s="150" t="s">
        <v>124</v>
      </c>
      <c r="I480" s="150" t="s">
        <v>660</v>
      </c>
      <c r="J480" s="151">
        <v>45504</v>
      </c>
      <c r="K480" s="135" t="s">
        <v>117</v>
      </c>
      <c r="L480" s="135">
        <v>261005878</v>
      </c>
      <c r="M480" s="151">
        <v>45504</v>
      </c>
      <c r="N480" s="220">
        <v>45504.541666666664</v>
      </c>
      <c r="O480" s="220">
        <v>45504.541666666664</v>
      </c>
      <c r="P480" s="152">
        <v>45504.545138888891</v>
      </c>
      <c r="Q480" s="152">
        <v>45504.729166666664</v>
      </c>
      <c r="R480" s="220" t="s">
        <v>118</v>
      </c>
      <c r="S480" s="152" t="s">
        <v>118</v>
      </c>
      <c r="T480" s="152">
        <v>45504.743055555555</v>
      </c>
      <c r="U480" s="152">
        <v>45504.831250000003</v>
      </c>
      <c r="V480" s="219">
        <f>+Q480-O480</f>
        <v>0.1875</v>
      </c>
      <c r="W480" s="165">
        <v>0.20833333333333334</v>
      </c>
      <c r="X480" s="219" t="str">
        <f>IF(VALUE(V480)&lt;=VALUE("05:00"),"00:00",VALUE(V480)-VALUE("05:00"))</f>
        <v>00:00</v>
      </c>
      <c r="Y480" s="96">
        <v>0</v>
      </c>
      <c r="Z480" s="96">
        <v>59</v>
      </c>
      <c r="AA480" s="96">
        <f t="shared" si="278"/>
        <v>59</v>
      </c>
      <c r="AB480" s="97">
        <f t="shared" si="279"/>
        <v>0</v>
      </c>
      <c r="AC480" s="97">
        <f t="shared" si="280"/>
        <v>3927.83</v>
      </c>
      <c r="AD480" s="98">
        <v>3927.83</v>
      </c>
      <c r="AE480" s="98">
        <v>4047.6</v>
      </c>
      <c r="AF480" s="98">
        <v>4052.4</v>
      </c>
      <c r="AG480" s="98">
        <f t="shared" si="281"/>
        <v>124.57000000000016</v>
      </c>
      <c r="AH480" s="99">
        <v>797.2</v>
      </c>
      <c r="AI480" s="100">
        <f t="shared" si="282"/>
        <v>3230573.2800000003</v>
      </c>
      <c r="AJ480" s="100">
        <f>(0*AH480)*2</f>
        <v>0</v>
      </c>
      <c r="AK480" s="100">
        <v>0</v>
      </c>
      <c r="AL480" s="100">
        <v>0</v>
      </c>
      <c r="AM480" s="100">
        <v>0</v>
      </c>
      <c r="AN480" s="100">
        <v>0</v>
      </c>
      <c r="AO480" s="100">
        <v>0</v>
      </c>
      <c r="AP480" s="100">
        <f t="shared" si="269"/>
        <v>161529</v>
      </c>
      <c r="AQ480" s="101">
        <f t="shared" si="270"/>
        <v>3392103</v>
      </c>
      <c r="AR480" s="101">
        <v>0</v>
      </c>
      <c r="AS480" s="101">
        <v>0</v>
      </c>
      <c r="AT480" s="102" t="s">
        <v>33</v>
      </c>
      <c r="AU480" s="109" t="s">
        <v>118</v>
      </c>
      <c r="AV480" s="222">
        <v>0</v>
      </c>
      <c r="AW480" s="105"/>
      <c r="AX480" s="216">
        <f>IFERROR((AG480/AF480)*100, "")</f>
        <v>3.0739808508538191</v>
      </c>
      <c r="AY480" s="217">
        <f>ROUNDUP(AG480*AH480,0)</f>
        <v>99308</v>
      </c>
      <c r="AZ480" s="107"/>
      <c r="BA480" s="94">
        <v>45504.541666666664</v>
      </c>
      <c r="BB480" s="94">
        <v>45504.545138888891</v>
      </c>
      <c r="BC480" s="94">
        <v>45504.545138888891</v>
      </c>
      <c r="BD480" s="94">
        <v>45504.68472222222</v>
      </c>
      <c r="BE480" s="95">
        <f>+BD480-BA480</f>
        <v>0.14305555555620231</v>
      </c>
      <c r="BF480" s="95">
        <v>0</v>
      </c>
      <c r="BG480" s="95">
        <v>0</v>
      </c>
      <c r="BH480" s="95">
        <f t="shared" si="283"/>
        <v>3.4722222262644209E-3</v>
      </c>
      <c r="BI480" s="95">
        <f t="shared" si="283"/>
        <v>0</v>
      </c>
      <c r="BJ480" s="95">
        <f t="shared" si="283"/>
        <v>0.13958333332993789</v>
      </c>
      <c r="BK480" s="95">
        <f>+BI480+BJ480</f>
        <v>0.13958333332993789</v>
      </c>
      <c r="BL480" s="95">
        <f>+BE480-BH480-BF480-BG480</f>
        <v>0.13958333332993789</v>
      </c>
      <c r="BM480" s="95" t="str">
        <f>IF(VALUE(BE480)&lt;=VALUE("05:00"),"00:00",VALUE(BE480)-VALUE("05:00"))</f>
        <v>00:00</v>
      </c>
      <c r="BN480" s="110"/>
    </row>
    <row r="481" spans="1:66" s="8" customFormat="1" ht="12.75" customHeight="1" x14ac:dyDescent="0.25">
      <c r="A481" s="115">
        <v>430</v>
      </c>
      <c r="B481" s="115">
        <v>101</v>
      </c>
      <c r="C481" s="90">
        <v>15</v>
      </c>
      <c r="D481" s="111" t="s">
        <v>148</v>
      </c>
      <c r="E481" s="210" t="s">
        <v>632</v>
      </c>
      <c r="F481" s="115" t="s">
        <v>16</v>
      </c>
      <c r="G481" s="115" t="s">
        <v>17</v>
      </c>
      <c r="H481" s="115" t="s">
        <v>150</v>
      </c>
      <c r="I481" s="115" t="s">
        <v>661</v>
      </c>
      <c r="J481" s="117">
        <v>45503</v>
      </c>
      <c r="K481" s="116" t="s">
        <v>117</v>
      </c>
      <c r="L481" s="116">
        <v>461000398</v>
      </c>
      <c r="M481" s="117">
        <v>45505</v>
      </c>
      <c r="N481" s="213">
        <v>45504.6875</v>
      </c>
      <c r="O481" s="213">
        <v>45504.6875</v>
      </c>
      <c r="P481" s="118">
        <v>45504.694444444445</v>
      </c>
      <c r="Q481" s="118">
        <v>45504.895833333336</v>
      </c>
      <c r="R481" s="213" t="s">
        <v>118</v>
      </c>
      <c r="S481" s="118">
        <v>45504.923611111109</v>
      </c>
      <c r="T481" s="118">
        <v>45504.930555555555</v>
      </c>
      <c r="U481" s="118">
        <v>45505.154166666667</v>
      </c>
      <c r="V481" s="119">
        <f>+Q481-O481</f>
        <v>0.20833333333575865</v>
      </c>
      <c r="W481" s="119">
        <v>0.20833333333333334</v>
      </c>
      <c r="X481" s="119">
        <f>IF(VALUE(V481)&lt;=VALUE("05:00"),"00:00",VALUE(V481)-VALUE("05:00"))</f>
        <v>2.4253099528692701E-12</v>
      </c>
      <c r="Y481" s="96">
        <v>0</v>
      </c>
      <c r="Z481" s="96">
        <v>25</v>
      </c>
      <c r="AA481" s="96">
        <f t="shared" si="278"/>
        <v>25</v>
      </c>
      <c r="AB481" s="97">
        <f t="shared" si="279"/>
        <v>0</v>
      </c>
      <c r="AC481" s="97">
        <f t="shared" si="280"/>
        <v>1632.8899999999996</v>
      </c>
      <c r="AD481" s="98">
        <f>3882.39-2249.5</f>
        <v>1632.8899999999999</v>
      </c>
      <c r="AE481" s="98">
        <f>3900.9-2193.6</f>
        <v>1707.3000000000002</v>
      </c>
      <c r="AF481" s="98">
        <f>3915.6-2203.56</f>
        <v>1712.04</v>
      </c>
      <c r="AG481" s="98">
        <f t="shared" si="281"/>
        <v>79.150000000000091</v>
      </c>
      <c r="AH481" s="99">
        <v>672.5</v>
      </c>
      <c r="AI481" s="100">
        <f t="shared" si="282"/>
        <v>1151346.8999999999</v>
      </c>
      <c r="AJ481" s="100">
        <f>(3.8*AH481)*2</f>
        <v>5111</v>
      </c>
      <c r="AK481" s="100">
        <v>0</v>
      </c>
      <c r="AL481" s="100">
        <v>0</v>
      </c>
      <c r="AM481" s="100">
        <v>0</v>
      </c>
      <c r="AN481" s="100">
        <v>0</v>
      </c>
      <c r="AO481" s="100">
        <v>0</v>
      </c>
      <c r="AP481" s="100">
        <f t="shared" si="269"/>
        <v>57823</v>
      </c>
      <c r="AQ481" s="101">
        <f t="shared" si="270"/>
        <v>1214281</v>
      </c>
      <c r="AR481" s="101">
        <v>0</v>
      </c>
      <c r="AS481" s="101">
        <v>0</v>
      </c>
      <c r="AT481" s="102" t="s">
        <v>33</v>
      </c>
      <c r="AU481" s="120" t="s">
        <v>118</v>
      </c>
      <c r="AV481" s="121">
        <v>0</v>
      </c>
      <c r="AW481" s="105"/>
      <c r="AX481" s="140">
        <f>IFERROR(((AG481+AG482)/(AF481+AF482))*100, "")</f>
        <v>0.84814587802635699</v>
      </c>
      <c r="AY481" s="141">
        <f>ROUNDUP((AG481+AG482)*AH481,0)</f>
        <v>22334</v>
      </c>
      <c r="AZ481" s="107"/>
      <c r="BA481" s="118">
        <v>45504.6875</v>
      </c>
      <c r="BB481" s="118">
        <v>45504.694444444445</v>
      </c>
      <c r="BC481" s="118">
        <v>45504.71875</v>
      </c>
      <c r="BD481" s="118">
        <v>45504.919444444444</v>
      </c>
      <c r="BE481" s="119">
        <f>+BD481-BA481</f>
        <v>0.23194444444379769</v>
      </c>
      <c r="BF481" s="119">
        <v>8.5416666666666669E-2</v>
      </c>
      <c r="BG481" s="119">
        <v>2.7777777777777779E-3</v>
      </c>
      <c r="BH481" s="119">
        <f t="shared" si="283"/>
        <v>6.9444444452528842E-3</v>
      </c>
      <c r="BI481" s="119">
        <f t="shared" si="283"/>
        <v>2.4305555554747116E-2</v>
      </c>
      <c r="BJ481" s="119">
        <f t="shared" si="283"/>
        <v>0.20069444444379769</v>
      </c>
      <c r="BK481" s="119">
        <f>+BI481+BJ481</f>
        <v>0.22499999999854481</v>
      </c>
      <c r="BL481" s="119">
        <f>+BE481-BH481-BF481-BG481</f>
        <v>0.13680555555410037</v>
      </c>
      <c r="BM481" s="119">
        <f>IF(VALUE(BE481)&lt;=VALUE("05:00"),"00:00",VALUE(BE481)-VALUE("05:00"))</f>
        <v>2.361111111046435E-2</v>
      </c>
      <c r="BN481" s="110" t="s">
        <v>662</v>
      </c>
    </row>
    <row r="482" spans="1:66" s="8" customFormat="1" ht="12.75" customHeight="1" x14ac:dyDescent="0.25">
      <c r="A482" s="122"/>
      <c r="B482" s="122"/>
      <c r="C482" s="90">
        <v>1</v>
      </c>
      <c r="D482" s="111" t="s">
        <v>148</v>
      </c>
      <c r="E482" s="210" t="s">
        <v>663</v>
      </c>
      <c r="F482" s="122"/>
      <c r="G482" s="122"/>
      <c r="H482" s="122"/>
      <c r="I482" s="122"/>
      <c r="J482" s="124"/>
      <c r="K482" s="123"/>
      <c r="L482" s="123"/>
      <c r="M482" s="124"/>
      <c r="N482" s="221"/>
      <c r="O482" s="221"/>
      <c r="P482" s="125"/>
      <c r="Q482" s="125"/>
      <c r="R482" s="221"/>
      <c r="S482" s="125"/>
      <c r="T482" s="125"/>
      <c r="U482" s="125"/>
      <c r="V482" s="126"/>
      <c r="W482" s="126"/>
      <c r="X482" s="126"/>
      <c r="Y482" s="96">
        <v>0</v>
      </c>
      <c r="Z482" s="96">
        <v>32</v>
      </c>
      <c r="AA482" s="96">
        <f t="shared" si="278"/>
        <v>32</v>
      </c>
      <c r="AB482" s="97">
        <f t="shared" si="279"/>
        <v>0</v>
      </c>
      <c r="AC482" s="97">
        <f t="shared" si="280"/>
        <v>2249.5</v>
      </c>
      <c r="AD482" s="98">
        <v>2249.5</v>
      </c>
      <c r="AE482" s="98">
        <v>2193.6</v>
      </c>
      <c r="AF482" s="98">
        <v>2203.56</v>
      </c>
      <c r="AG482" s="98">
        <f t="shared" si="281"/>
        <v>-45.940000000000055</v>
      </c>
      <c r="AH482" s="99">
        <v>672.5</v>
      </c>
      <c r="AI482" s="100">
        <f t="shared" si="282"/>
        <v>1481894.0999999999</v>
      </c>
      <c r="AJ482" s="100">
        <f>(0*AH482)*2</f>
        <v>0</v>
      </c>
      <c r="AK482" s="100">
        <v>0</v>
      </c>
      <c r="AL482" s="100">
        <v>0</v>
      </c>
      <c r="AM482" s="100">
        <v>0</v>
      </c>
      <c r="AN482" s="100">
        <v>0</v>
      </c>
      <c r="AO482" s="100">
        <v>0</v>
      </c>
      <c r="AP482" s="100">
        <f t="shared" si="269"/>
        <v>74095</v>
      </c>
      <c r="AQ482" s="101">
        <f>ROUNDUP(SUM(AI482:AP482),0)-1</f>
        <v>1555989</v>
      </c>
      <c r="AR482" s="101">
        <v>0</v>
      </c>
      <c r="AS482" s="101">
        <v>0</v>
      </c>
      <c r="AT482" s="102" t="s">
        <v>33</v>
      </c>
      <c r="AU482" s="127"/>
      <c r="AV482" s="128"/>
      <c r="AW482" s="105"/>
      <c r="AX482" s="144"/>
      <c r="AY482" s="145"/>
      <c r="AZ482" s="107"/>
      <c r="BA482" s="125"/>
      <c r="BB482" s="125"/>
      <c r="BC482" s="125"/>
      <c r="BD482" s="125"/>
      <c r="BE482" s="126"/>
      <c r="BF482" s="126"/>
      <c r="BG482" s="126"/>
      <c r="BH482" s="126"/>
      <c r="BI482" s="126"/>
      <c r="BJ482" s="126"/>
      <c r="BK482" s="126"/>
      <c r="BL482" s="126"/>
      <c r="BM482" s="126"/>
      <c r="BN482" s="110" t="s">
        <v>664</v>
      </c>
    </row>
    <row r="483" spans="1:66" s="8" customFormat="1" ht="12.75" customHeight="1" x14ac:dyDescent="0.25">
      <c r="A483" s="150">
        <v>431</v>
      </c>
      <c r="B483" s="150">
        <v>1</v>
      </c>
      <c r="C483" s="90">
        <v>5</v>
      </c>
      <c r="D483" s="111" t="s">
        <v>148</v>
      </c>
      <c r="E483" s="210" t="s">
        <v>655</v>
      </c>
      <c r="F483" s="150" t="s">
        <v>19</v>
      </c>
      <c r="G483" s="150" t="s">
        <v>17</v>
      </c>
      <c r="H483" s="150" t="s">
        <v>150</v>
      </c>
      <c r="I483" s="150" t="s">
        <v>665</v>
      </c>
      <c r="J483" s="151">
        <v>45504</v>
      </c>
      <c r="K483" s="135" t="s">
        <v>117</v>
      </c>
      <c r="L483" s="135">
        <v>461000399</v>
      </c>
      <c r="M483" s="151">
        <v>45505</v>
      </c>
      <c r="N483" s="152">
        <v>45505.190972222219</v>
      </c>
      <c r="O483" s="220">
        <v>45505.166666666664</v>
      </c>
      <c r="P483" s="152">
        <v>45505.208333333336</v>
      </c>
      <c r="Q483" s="152">
        <v>45505.364583333336</v>
      </c>
      <c r="R483" s="152">
        <v>45505.190972222219</v>
      </c>
      <c r="S483" s="152" t="s">
        <v>118</v>
      </c>
      <c r="T483" s="152">
        <v>45505.392361111109</v>
      </c>
      <c r="U483" s="152">
        <v>45505.590277777781</v>
      </c>
      <c r="V483" s="219">
        <f t="shared" ref="V483:V543" si="284">+Q483-O483</f>
        <v>0.19791666667151731</v>
      </c>
      <c r="W483" s="165">
        <v>0.20833333333333334</v>
      </c>
      <c r="X483" s="219" t="str">
        <f t="shared" ref="X483:X543" si="285">IF(VALUE(V483)&lt;=VALUE("05:00"),"00:00",VALUE(V483)-VALUE("05:00"))</f>
        <v>00:00</v>
      </c>
      <c r="Y483" s="96">
        <v>7</v>
      </c>
      <c r="Z483" s="96">
        <v>51</v>
      </c>
      <c r="AA483" s="96">
        <f t="shared" si="278"/>
        <v>58</v>
      </c>
      <c r="AB483" s="97">
        <f t="shared" si="279"/>
        <v>470.97568965517246</v>
      </c>
      <c r="AC483" s="97">
        <f t="shared" si="280"/>
        <v>3431.3943103448278</v>
      </c>
      <c r="AD483" s="98">
        <v>3902.37</v>
      </c>
      <c r="AE483" s="98">
        <v>3975.2</v>
      </c>
      <c r="AF483" s="98">
        <v>3983.4</v>
      </c>
      <c r="AG483" s="98">
        <f t="shared" si="281"/>
        <v>81.0300000000002</v>
      </c>
      <c r="AH483" s="99">
        <v>672.5</v>
      </c>
      <c r="AI483" s="100">
        <f t="shared" si="282"/>
        <v>2678836.5</v>
      </c>
      <c r="AJ483" s="100">
        <f>(2*AH483)*2</f>
        <v>2690</v>
      </c>
      <c r="AK483" s="100">
        <v>0</v>
      </c>
      <c r="AL483" s="100">
        <v>0</v>
      </c>
      <c r="AM483" s="100">
        <v>0</v>
      </c>
      <c r="AN483" s="100">
        <v>0</v>
      </c>
      <c r="AO483" s="100">
        <v>0</v>
      </c>
      <c r="AP483" s="100">
        <f t="shared" si="269"/>
        <v>134077</v>
      </c>
      <c r="AQ483" s="101">
        <f t="shared" ref="AQ483:AQ546" si="286">ROUNDUP(SUM(AI483:AP483),0)</f>
        <v>2815604</v>
      </c>
      <c r="AR483" s="101">
        <v>0</v>
      </c>
      <c r="AS483" s="101">
        <v>0</v>
      </c>
      <c r="AT483" s="102" t="s">
        <v>34</v>
      </c>
      <c r="AU483" s="109" t="s">
        <v>118</v>
      </c>
      <c r="AV483" s="222">
        <v>0</v>
      </c>
      <c r="AW483" s="105">
        <v>0</v>
      </c>
      <c r="AX483" s="216">
        <f t="shared" ref="AX483:AX546" si="287">IFERROR((AG483/AF483)*100, "")</f>
        <v>2.0341918963699404</v>
      </c>
      <c r="AY483" s="217">
        <f t="shared" ref="AY483:AY546" si="288">ROUNDUP(AG483*AH483,0)</f>
        <v>54493</v>
      </c>
      <c r="AZ483" s="107"/>
      <c r="BA483" s="94">
        <v>45505.190972222219</v>
      </c>
      <c r="BB483" s="94">
        <v>45505.208333333336</v>
      </c>
      <c r="BC483" s="94">
        <v>45505.215277777781</v>
      </c>
      <c r="BD483" s="94">
        <v>45505.368055555555</v>
      </c>
      <c r="BE483" s="95">
        <f t="shared" ref="BE483:BE543" si="289">+BD483-BA483</f>
        <v>0.17708333333575865</v>
      </c>
      <c r="BF483" s="95">
        <v>2.6388888888888889E-2</v>
      </c>
      <c r="BG483" s="95">
        <v>2.0833333333333333E-3</v>
      </c>
      <c r="BH483" s="95">
        <f t="shared" ref="BH483:BJ514" si="290">+BB483-BA483</f>
        <v>1.7361111116770189E-2</v>
      </c>
      <c r="BI483" s="95">
        <f t="shared" si="290"/>
        <v>6.9444444452528842E-3</v>
      </c>
      <c r="BJ483" s="95">
        <f t="shared" si="290"/>
        <v>0.15277777777373558</v>
      </c>
      <c r="BK483" s="95">
        <f t="shared" ref="BK483:BK543" si="291">+BI483+BJ483</f>
        <v>0.15972222221898846</v>
      </c>
      <c r="BL483" s="95">
        <f t="shared" ref="BL483:BL543" si="292">+BE483-BH483-BF483-BG483</f>
        <v>0.13124999999676626</v>
      </c>
      <c r="BM483" s="95" t="str">
        <f t="shared" ref="BM483:BM543" si="293">IF(VALUE(BE483)&lt;=VALUE("05:00"),"00:00",VALUE(BE483)-VALUE("05:00"))</f>
        <v>00:00</v>
      </c>
      <c r="BN483" s="110"/>
    </row>
    <row r="484" spans="1:66" s="8" customFormat="1" ht="12.75" customHeight="1" x14ac:dyDescent="0.25">
      <c r="A484" s="150">
        <v>432</v>
      </c>
      <c r="B484" s="150">
        <v>2</v>
      </c>
      <c r="C484" s="90">
        <v>6</v>
      </c>
      <c r="D484" s="111" t="s">
        <v>148</v>
      </c>
      <c r="E484" s="210" t="s">
        <v>655</v>
      </c>
      <c r="F484" s="150" t="s">
        <v>19</v>
      </c>
      <c r="G484" s="150" t="s">
        <v>17</v>
      </c>
      <c r="H484" s="150" t="s">
        <v>150</v>
      </c>
      <c r="I484" s="150" t="s">
        <v>666</v>
      </c>
      <c r="J484" s="151">
        <v>45504</v>
      </c>
      <c r="K484" s="135" t="s">
        <v>122</v>
      </c>
      <c r="L484" s="135">
        <v>461000400</v>
      </c>
      <c r="M484" s="151">
        <v>45505</v>
      </c>
      <c r="N484" s="220">
        <v>45505.458333333336</v>
      </c>
      <c r="O484" s="220">
        <v>45505.458333333336</v>
      </c>
      <c r="P484" s="152">
        <v>45505.486111111109</v>
      </c>
      <c r="Q484" s="152">
        <v>45505.666666666664</v>
      </c>
      <c r="R484" s="220" t="s">
        <v>118</v>
      </c>
      <c r="S484" s="152">
        <v>45505.694444444445</v>
      </c>
      <c r="T484" s="152">
        <v>45505.708333333336</v>
      </c>
      <c r="U484" s="152">
        <v>45505.788194444445</v>
      </c>
      <c r="V484" s="219">
        <f t="shared" si="284"/>
        <v>0.20833333332848269</v>
      </c>
      <c r="W484" s="165">
        <v>0.20833333333333334</v>
      </c>
      <c r="X484" s="219" t="str">
        <f t="shared" si="285"/>
        <v>00:00</v>
      </c>
      <c r="Y484" s="96">
        <v>5</v>
      </c>
      <c r="Z484" s="96">
        <v>53</v>
      </c>
      <c r="AA484" s="96">
        <f t="shared" si="278"/>
        <v>58</v>
      </c>
      <c r="AB484" s="97">
        <f t="shared" si="279"/>
        <v>344.09137931034485</v>
      </c>
      <c r="AC484" s="97">
        <f t="shared" si="280"/>
        <v>3647.3686206896555</v>
      </c>
      <c r="AD484" s="98">
        <v>3991.46</v>
      </c>
      <c r="AE484" s="98">
        <v>3994.9</v>
      </c>
      <c r="AF484" s="98">
        <v>4012.2</v>
      </c>
      <c r="AG484" s="98">
        <f t="shared" si="281"/>
        <v>20.739999999999782</v>
      </c>
      <c r="AH484" s="99">
        <v>672.5</v>
      </c>
      <c r="AI484" s="100">
        <f t="shared" si="282"/>
        <v>2698204.5</v>
      </c>
      <c r="AJ484" s="100">
        <f>(6*AH484)*2</f>
        <v>8070</v>
      </c>
      <c r="AK484" s="100">
        <v>0</v>
      </c>
      <c r="AL484" s="100">
        <v>0</v>
      </c>
      <c r="AM484" s="100">
        <v>0</v>
      </c>
      <c r="AN484" s="100">
        <v>0</v>
      </c>
      <c r="AO484" s="100">
        <v>0</v>
      </c>
      <c r="AP484" s="100">
        <f t="shared" si="269"/>
        <v>135314</v>
      </c>
      <c r="AQ484" s="101">
        <f t="shared" si="286"/>
        <v>2841589</v>
      </c>
      <c r="AR484" s="101">
        <v>0</v>
      </c>
      <c r="AS484" s="101">
        <v>0</v>
      </c>
      <c r="AT484" s="102" t="s">
        <v>34</v>
      </c>
      <c r="AU484" s="109" t="s">
        <v>118</v>
      </c>
      <c r="AV484" s="222">
        <v>0</v>
      </c>
      <c r="AW484" s="105">
        <v>0</v>
      </c>
      <c r="AX484" s="216">
        <f t="shared" si="287"/>
        <v>0.5169233836797712</v>
      </c>
      <c r="AY484" s="217">
        <f t="shared" si="288"/>
        <v>13948</v>
      </c>
      <c r="AZ484" s="107"/>
      <c r="BA484" s="94">
        <v>45505.458333333336</v>
      </c>
      <c r="BB484" s="94">
        <v>45505.486111111109</v>
      </c>
      <c r="BC484" s="94">
        <v>45505.486111111109</v>
      </c>
      <c r="BD484" s="94">
        <v>45505.6875</v>
      </c>
      <c r="BE484" s="95">
        <f t="shared" si="289"/>
        <v>0.22916666666424135</v>
      </c>
      <c r="BF484" s="95">
        <v>6.5972222222222224E-2</v>
      </c>
      <c r="BG484" s="95">
        <v>0</v>
      </c>
      <c r="BH484" s="95">
        <f t="shared" si="290"/>
        <v>2.7777777773735579E-2</v>
      </c>
      <c r="BI484" s="95">
        <f t="shared" si="290"/>
        <v>0</v>
      </c>
      <c r="BJ484" s="95">
        <f t="shared" si="290"/>
        <v>0.20138888889050577</v>
      </c>
      <c r="BK484" s="95">
        <f t="shared" si="291"/>
        <v>0.20138888889050577</v>
      </c>
      <c r="BL484" s="95">
        <f t="shared" si="292"/>
        <v>0.13541666666828356</v>
      </c>
      <c r="BM484" s="95">
        <f t="shared" si="293"/>
        <v>2.0833333330908005E-2</v>
      </c>
      <c r="BN484" s="110"/>
    </row>
    <row r="485" spans="1:66" s="8" customFormat="1" ht="12.75" customHeight="1" x14ac:dyDescent="0.25">
      <c r="A485" s="150">
        <v>433</v>
      </c>
      <c r="B485" s="150">
        <v>3</v>
      </c>
      <c r="C485" s="90">
        <v>1</v>
      </c>
      <c r="D485" s="111" t="s">
        <v>113</v>
      </c>
      <c r="E485" s="210" t="s">
        <v>667</v>
      </c>
      <c r="F485" s="150" t="s">
        <v>27</v>
      </c>
      <c r="G485" s="150" t="s">
        <v>12</v>
      </c>
      <c r="H485" s="150" t="s">
        <v>115</v>
      </c>
      <c r="I485" s="150" t="s">
        <v>668</v>
      </c>
      <c r="J485" s="151">
        <v>45505</v>
      </c>
      <c r="K485" s="135" t="s">
        <v>117</v>
      </c>
      <c r="L485" s="135">
        <v>282000998</v>
      </c>
      <c r="M485" s="151">
        <v>45506</v>
      </c>
      <c r="N485" s="220">
        <v>45505.819444444445</v>
      </c>
      <c r="O485" s="220">
        <v>45505.819444444445</v>
      </c>
      <c r="P485" s="152">
        <v>45505.822916666664</v>
      </c>
      <c r="Q485" s="152">
        <v>45505.989583333336</v>
      </c>
      <c r="R485" s="220" t="s">
        <v>118</v>
      </c>
      <c r="S485" s="152" t="s">
        <v>118</v>
      </c>
      <c r="T485" s="152">
        <v>45506.048611111109</v>
      </c>
      <c r="U485" s="152">
        <v>45506.190972222219</v>
      </c>
      <c r="V485" s="219">
        <f t="shared" si="284"/>
        <v>0.17013888889050577</v>
      </c>
      <c r="W485" s="165">
        <v>0.20833333333333334</v>
      </c>
      <c r="X485" s="219" t="str">
        <f t="shared" si="285"/>
        <v>00:00</v>
      </c>
      <c r="Y485" s="96">
        <v>0</v>
      </c>
      <c r="Z485" s="96">
        <v>59</v>
      </c>
      <c r="AA485" s="96">
        <f t="shared" si="278"/>
        <v>59</v>
      </c>
      <c r="AB485" s="97">
        <f t="shared" si="279"/>
        <v>0</v>
      </c>
      <c r="AC485" s="97">
        <f t="shared" si="280"/>
        <v>4017.55</v>
      </c>
      <c r="AD485" s="98">
        <v>4017.55</v>
      </c>
      <c r="AE485" s="98">
        <v>4028</v>
      </c>
      <c r="AF485" s="98">
        <v>4051.6</v>
      </c>
      <c r="AG485" s="98">
        <f t="shared" si="281"/>
        <v>34.049999999999727</v>
      </c>
      <c r="AH485" s="99">
        <v>1586.7</v>
      </c>
      <c r="AI485" s="100">
        <f t="shared" si="282"/>
        <v>6428673.7199999997</v>
      </c>
      <c r="AJ485" s="100">
        <f>(0*AH485)*2</f>
        <v>0</v>
      </c>
      <c r="AK485" s="100">
        <v>0</v>
      </c>
      <c r="AL485" s="100">
        <v>8850</v>
      </c>
      <c r="AM485" s="100">
        <v>0</v>
      </c>
      <c r="AN485" s="100">
        <v>0</v>
      </c>
      <c r="AO485" s="100">
        <f>IFERROR(AF485*20+(((AJ485/AH485)/2)*20),0)</f>
        <v>81032</v>
      </c>
      <c r="AP485" s="100">
        <f t="shared" si="269"/>
        <v>325928</v>
      </c>
      <c r="AQ485" s="101">
        <f t="shared" si="286"/>
        <v>6844484</v>
      </c>
      <c r="AR485" s="101">
        <v>0</v>
      </c>
      <c r="AS485" s="101">
        <v>0</v>
      </c>
      <c r="AT485" s="102" t="s">
        <v>33</v>
      </c>
      <c r="AU485" s="109">
        <v>11</v>
      </c>
      <c r="AV485" s="222">
        <f>33.93-20.43</f>
        <v>13.5</v>
      </c>
      <c r="AW485" s="105">
        <v>0</v>
      </c>
      <c r="AX485" s="216">
        <f t="shared" si="287"/>
        <v>0.84040872741632267</v>
      </c>
      <c r="AY485" s="217">
        <f t="shared" si="288"/>
        <v>54028</v>
      </c>
      <c r="AZ485" s="107"/>
      <c r="BA485" s="94">
        <v>45505.819444444445</v>
      </c>
      <c r="BB485" s="94">
        <v>45505.822916666664</v>
      </c>
      <c r="BC485" s="94">
        <v>45505.854166666664</v>
      </c>
      <c r="BD485" s="94">
        <v>45506.030555555553</v>
      </c>
      <c r="BE485" s="95">
        <f t="shared" si="289"/>
        <v>0.21111111110803904</v>
      </c>
      <c r="BF485" s="95">
        <v>1.3888888888888888E-2</v>
      </c>
      <c r="BG485" s="95">
        <v>7.5694444444444439E-2</v>
      </c>
      <c r="BH485" s="95">
        <f t="shared" si="290"/>
        <v>3.4722222189884633E-3</v>
      </c>
      <c r="BI485" s="95">
        <f t="shared" si="290"/>
        <v>3.125E-2</v>
      </c>
      <c r="BJ485" s="95">
        <f t="shared" si="290"/>
        <v>0.17638888888905058</v>
      </c>
      <c r="BK485" s="95">
        <f t="shared" si="291"/>
        <v>0.20763888888905058</v>
      </c>
      <c r="BL485" s="95">
        <f t="shared" si="292"/>
        <v>0.11805555555571724</v>
      </c>
      <c r="BM485" s="95">
        <f t="shared" si="293"/>
        <v>2.7777777747056975E-3</v>
      </c>
      <c r="BN485" s="110"/>
    </row>
    <row r="486" spans="1:66" s="8" customFormat="1" ht="12.75" customHeight="1" x14ac:dyDescent="0.25">
      <c r="A486" s="150">
        <v>434</v>
      </c>
      <c r="B486" s="150">
        <v>4</v>
      </c>
      <c r="C486" s="90">
        <v>7</v>
      </c>
      <c r="D486" s="111" t="s">
        <v>148</v>
      </c>
      <c r="E486" s="210" t="s">
        <v>655</v>
      </c>
      <c r="F486" s="150" t="s">
        <v>19</v>
      </c>
      <c r="G486" s="150" t="s">
        <v>17</v>
      </c>
      <c r="H486" s="150" t="s">
        <v>150</v>
      </c>
      <c r="I486" s="150" t="s">
        <v>669</v>
      </c>
      <c r="J486" s="151">
        <v>45505</v>
      </c>
      <c r="K486" s="135" t="s">
        <v>122</v>
      </c>
      <c r="L486" s="135">
        <v>461000401</v>
      </c>
      <c r="M486" s="151">
        <v>45506</v>
      </c>
      <c r="N486" s="220">
        <v>45506.020833333336</v>
      </c>
      <c r="O486" s="220">
        <v>45506.020833333336</v>
      </c>
      <c r="P486" s="152">
        <v>45506.024305555555</v>
      </c>
      <c r="Q486" s="152">
        <v>45506.229166666664</v>
      </c>
      <c r="R486" s="220" t="s">
        <v>118</v>
      </c>
      <c r="S486" s="152">
        <v>45506.256944444445</v>
      </c>
      <c r="T486" s="152">
        <v>45506.291666666664</v>
      </c>
      <c r="U486" s="152">
        <v>45506.412499999999</v>
      </c>
      <c r="V486" s="219">
        <f t="shared" si="284"/>
        <v>0.20833333332848269</v>
      </c>
      <c r="W486" s="165">
        <v>0.20833333333333334</v>
      </c>
      <c r="X486" s="219" t="str">
        <f t="shared" si="285"/>
        <v>00:00</v>
      </c>
      <c r="Y486" s="96">
        <v>0</v>
      </c>
      <c r="Z486" s="96">
        <v>58</v>
      </c>
      <c r="AA486" s="96">
        <f t="shared" si="278"/>
        <v>58</v>
      </c>
      <c r="AB486" s="97">
        <f t="shared" si="279"/>
        <v>0</v>
      </c>
      <c r="AC486" s="97">
        <f t="shared" si="280"/>
        <v>3934.37</v>
      </c>
      <c r="AD486" s="98">
        <v>3934.37</v>
      </c>
      <c r="AE486" s="98">
        <v>3976.4</v>
      </c>
      <c r="AF486" s="98">
        <v>3983.2</v>
      </c>
      <c r="AG486" s="98">
        <f t="shared" si="281"/>
        <v>48.829999999999927</v>
      </c>
      <c r="AH486" s="99">
        <v>672.5</v>
      </c>
      <c r="AI486" s="100">
        <f t="shared" si="282"/>
        <v>2678702</v>
      </c>
      <c r="AJ486" s="100">
        <f>(0.6*AH486)*2</f>
        <v>807</v>
      </c>
      <c r="AK486" s="100">
        <v>0</v>
      </c>
      <c r="AL486" s="100">
        <v>0</v>
      </c>
      <c r="AM486" s="100">
        <v>0</v>
      </c>
      <c r="AN486" s="100">
        <v>0</v>
      </c>
      <c r="AO486" s="100">
        <v>0</v>
      </c>
      <c r="AP486" s="100">
        <f t="shared" si="269"/>
        <v>133976</v>
      </c>
      <c r="AQ486" s="101">
        <f t="shared" si="286"/>
        <v>2813485</v>
      </c>
      <c r="AR486" s="101">
        <v>0</v>
      </c>
      <c r="AS486" s="101">
        <v>0</v>
      </c>
      <c r="AT486" s="102" t="s">
        <v>34</v>
      </c>
      <c r="AU486" s="109" t="s">
        <v>118</v>
      </c>
      <c r="AV486" s="222">
        <v>0</v>
      </c>
      <c r="AW486" s="105">
        <v>0</v>
      </c>
      <c r="AX486" s="216">
        <f t="shared" si="287"/>
        <v>1.2258987748543866</v>
      </c>
      <c r="AY486" s="217">
        <f t="shared" si="288"/>
        <v>32839</v>
      </c>
      <c r="AZ486" s="107"/>
      <c r="BA486" s="94">
        <v>45506.020833333336</v>
      </c>
      <c r="BB486" s="94">
        <v>45506.024305555555</v>
      </c>
      <c r="BC486" s="94">
        <v>45506.069444444445</v>
      </c>
      <c r="BD486" s="94">
        <v>45506.250694444447</v>
      </c>
      <c r="BE486" s="95">
        <f t="shared" si="289"/>
        <v>0.22986111111094942</v>
      </c>
      <c r="BF486" s="95">
        <v>6.1805555555555558E-2</v>
      </c>
      <c r="BG486" s="95">
        <v>1.3194444444444444E-2</v>
      </c>
      <c r="BH486" s="95">
        <f t="shared" si="290"/>
        <v>3.4722222189884633E-3</v>
      </c>
      <c r="BI486" s="95">
        <f t="shared" si="290"/>
        <v>4.5138888890505768E-2</v>
      </c>
      <c r="BJ486" s="95">
        <f t="shared" si="290"/>
        <v>0.18125000000145519</v>
      </c>
      <c r="BK486" s="95">
        <f t="shared" si="291"/>
        <v>0.22638888889196096</v>
      </c>
      <c r="BL486" s="95">
        <f t="shared" si="292"/>
        <v>0.15138888889196095</v>
      </c>
      <c r="BM486" s="95">
        <f t="shared" si="293"/>
        <v>2.1527777777616081E-2</v>
      </c>
      <c r="BN486" s="110"/>
    </row>
    <row r="487" spans="1:66" s="8" customFormat="1" ht="12.75" customHeight="1" x14ac:dyDescent="0.25">
      <c r="A487" s="150">
        <v>435</v>
      </c>
      <c r="B487" s="150">
        <v>5</v>
      </c>
      <c r="C487" s="90">
        <v>10</v>
      </c>
      <c r="D487" s="111" t="s">
        <v>113</v>
      </c>
      <c r="E487" s="210" t="s">
        <v>530</v>
      </c>
      <c r="F487" s="150" t="s">
        <v>29</v>
      </c>
      <c r="G487" s="150" t="s">
        <v>15</v>
      </c>
      <c r="H487" s="150" t="s">
        <v>124</v>
      </c>
      <c r="I487" s="150" t="s">
        <v>670</v>
      </c>
      <c r="J487" s="151">
        <v>45506</v>
      </c>
      <c r="K487" s="135" t="s">
        <v>117</v>
      </c>
      <c r="L487" s="135">
        <v>261005879</v>
      </c>
      <c r="M487" s="151">
        <v>45506</v>
      </c>
      <c r="N487" s="220">
        <v>45506.315972222219</v>
      </c>
      <c r="O487" s="220">
        <v>45506.315972222219</v>
      </c>
      <c r="P487" s="152">
        <v>45506.319444444445</v>
      </c>
      <c r="Q487" s="152">
        <v>45506.520833333336</v>
      </c>
      <c r="R487" s="220" t="s">
        <v>118</v>
      </c>
      <c r="S487" s="152">
        <v>45506.5625</v>
      </c>
      <c r="T487" s="152">
        <v>45506.604166666664</v>
      </c>
      <c r="U487" s="152">
        <v>45506.6875</v>
      </c>
      <c r="V487" s="219">
        <f t="shared" si="284"/>
        <v>0.20486111111677019</v>
      </c>
      <c r="W487" s="165">
        <v>0.20833333333333334</v>
      </c>
      <c r="X487" s="219" t="str">
        <f t="shared" si="285"/>
        <v>00:00</v>
      </c>
      <c r="Y487" s="96">
        <v>0</v>
      </c>
      <c r="Z487" s="96">
        <v>58</v>
      </c>
      <c r="AA487" s="96">
        <f t="shared" si="278"/>
        <v>58</v>
      </c>
      <c r="AB487" s="97">
        <f t="shared" si="279"/>
        <v>0</v>
      </c>
      <c r="AC487" s="97">
        <f t="shared" si="280"/>
        <v>3872.4700000000003</v>
      </c>
      <c r="AD487" s="98">
        <v>3872.47</v>
      </c>
      <c r="AE487" s="98">
        <v>3990.5</v>
      </c>
      <c r="AF487" s="98">
        <v>3993</v>
      </c>
      <c r="AG487" s="98">
        <f t="shared" si="281"/>
        <v>120.5300000000002</v>
      </c>
      <c r="AH487" s="99">
        <v>797.2</v>
      </c>
      <c r="AI487" s="100">
        <f t="shared" si="282"/>
        <v>3183219.6</v>
      </c>
      <c r="AJ487" s="100">
        <f>(0*AH487)*2</f>
        <v>0</v>
      </c>
      <c r="AK487" s="100">
        <v>0</v>
      </c>
      <c r="AL487" s="100">
        <v>0</v>
      </c>
      <c r="AM487" s="100">
        <v>0</v>
      </c>
      <c r="AN487" s="100">
        <v>0</v>
      </c>
      <c r="AO487" s="100">
        <v>0</v>
      </c>
      <c r="AP487" s="100">
        <f t="shared" si="269"/>
        <v>159161</v>
      </c>
      <c r="AQ487" s="101">
        <f t="shared" si="286"/>
        <v>3342381</v>
      </c>
      <c r="AR487" s="101">
        <v>0</v>
      </c>
      <c r="AS487" s="101">
        <v>0</v>
      </c>
      <c r="AT487" s="102" t="s">
        <v>33</v>
      </c>
      <c r="AU487" s="109" t="s">
        <v>118</v>
      </c>
      <c r="AV487" s="222">
        <v>0</v>
      </c>
      <c r="AW487" s="105">
        <v>0</v>
      </c>
      <c r="AX487" s="216">
        <f t="shared" si="287"/>
        <v>3.0185324317555775</v>
      </c>
      <c r="AY487" s="217">
        <f t="shared" si="288"/>
        <v>96087</v>
      </c>
      <c r="AZ487" s="107"/>
      <c r="BA487" s="94">
        <v>45506.315972222219</v>
      </c>
      <c r="BB487" s="94">
        <v>45506.319444444445</v>
      </c>
      <c r="BC487" s="94">
        <v>45506.354166666664</v>
      </c>
      <c r="BD487" s="94">
        <v>45506.554166666669</v>
      </c>
      <c r="BE487" s="95">
        <f t="shared" si="289"/>
        <v>0.23819444444961846</v>
      </c>
      <c r="BF487" s="95">
        <v>6.2500000000000003E-3</v>
      </c>
      <c r="BG487" s="95">
        <v>0.10555555555555556</v>
      </c>
      <c r="BH487" s="95">
        <f t="shared" si="290"/>
        <v>3.4722222262644209E-3</v>
      </c>
      <c r="BI487" s="95">
        <f t="shared" si="290"/>
        <v>3.4722222218988463E-2</v>
      </c>
      <c r="BJ487" s="95">
        <f t="shared" si="290"/>
        <v>0.20000000000436557</v>
      </c>
      <c r="BK487" s="95">
        <f t="shared" si="291"/>
        <v>0.23472222222335404</v>
      </c>
      <c r="BL487" s="95">
        <f t="shared" si="292"/>
        <v>0.12291666666779848</v>
      </c>
      <c r="BM487" s="95">
        <f t="shared" si="293"/>
        <v>2.9861111116285116E-2</v>
      </c>
      <c r="BN487" s="110"/>
    </row>
    <row r="488" spans="1:66" s="8" customFormat="1" ht="12.75" customHeight="1" x14ac:dyDescent="0.25">
      <c r="A488" s="150">
        <v>436</v>
      </c>
      <c r="B488" s="150">
        <v>6</v>
      </c>
      <c r="C488" s="90">
        <v>8</v>
      </c>
      <c r="D488" s="111" t="s">
        <v>148</v>
      </c>
      <c r="E488" s="210" t="s">
        <v>655</v>
      </c>
      <c r="F488" s="150" t="s">
        <v>19</v>
      </c>
      <c r="G488" s="150" t="s">
        <v>17</v>
      </c>
      <c r="H488" s="150" t="s">
        <v>150</v>
      </c>
      <c r="I488" s="150" t="s">
        <v>671</v>
      </c>
      <c r="J488" s="151">
        <v>45505</v>
      </c>
      <c r="K488" s="135" t="s">
        <v>122</v>
      </c>
      <c r="L488" s="135">
        <v>461000402</v>
      </c>
      <c r="M488" s="151">
        <v>45507</v>
      </c>
      <c r="N488" s="220">
        <v>45506.541666666664</v>
      </c>
      <c r="O488" s="220">
        <v>45506.541666666664</v>
      </c>
      <c r="P488" s="152">
        <v>45506.545138888891</v>
      </c>
      <c r="Q488" s="152">
        <v>45506.75</v>
      </c>
      <c r="R488" s="220" t="s">
        <v>118</v>
      </c>
      <c r="S488" s="152">
        <v>45506.791666666664</v>
      </c>
      <c r="T488" s="152">
        <v>45506.944444444445</v>
      </c>
      <c r="U488" s="152">
        <v>45507.076388888891</v>
      </c>
      <c r="V488" s="219">
        <f t="shared" si="284"/>
        <v>0.20833333333575865</v>
      </c>
      <c r="W488" s="165">
        <v>0.20833333333333334</v>
      </c>
      <c r="X488" s="219">
        <f t="shared" si="285"/>
        <v>2.4253099528692701E-12</v>
      </c>
      <c r="Y488" s="96">
        <v>2</v>
      </c>
      <c r="Z488" s="96">
        <v>56</v>
      </c>
      <c r="AA488" s="96">
        <f t="shared" si="278"/>
        <v>58</v>
      </c>
      <c r="AB488" s="97">
        <f t="shared" si="279"/>
        <v>137.76793103448276</v>
      </c>
      <c r="AC488" s="97">
        <f t="shared" si="280"/>
        <v>3857.5020689655171</v>
      </c>
      <c r="AD488" s="98">
        <v>3995.27</v>
      </c>
      <c r="AE488" s="98">
        <v>3988.3</v>
      </c>
      <c r="AF488" s="98">
        <v>4013.2</v>
      </c>
      <c r="AG488" s="98">
        <f t="shared" si="281"/>
        <v>17.929999999999836</v>
      </c>
      <c r="AH488" s="99">
        <v>672.5</v>
      </c>
      <c r="AI488" s="100">
        <f t="shared" si="282"/>
        <v>2698877</v>
      </c>
      <c r="AJ488" s="100"/>
      <c r="AK488" s="100"/>
      <c r="AL488" s="100">
        <v>24140</v>
      </c>
      <c r="AM488" s="100">
        <v>0</v>
      </c>
      <c r="AN488" s="100">
        <v>0</v>
      </c>
      <c r="AO488" s="100">
        <v>0</v>
      </c>
      <c r="AP488" s="100">
        <f t="shared" si="269"/>
        <v>136151</v>
      </c>
      <c r="AQ488" s="101">
        <f t="shared" si="286"/>
        <v>2859168</v>
      </c>
      <c r="AR488" s="101">
        <v>0</v>
      </c>
      <c r="AS488" s="101">
        <v>0</v>
      </c>
      <c r="AT488" s="102" t="s">
        <v>34</v>
      </c>
      <c r="AU488" s="109">
        <v>14</v>
      </c>
      <c r="AV488" s="222">
        <f>36.62-20.62</f>
        <v>15.999999999999996</v>
      </c>
      <c r="AW488" s="105">
        <v>0</v>
      </c>
      <c r="AX488" s="216">
        <f t="shared" si="287"/>
        <v>0.44677564038671974</v>
      </c>
      <c r="AY488" s="217">
        <f t="shared" si="288"/>
        <v>12058</v>
      </c>
      <c r="AZ488" s="107"/>
      <c r="BA488" s="94">
        <v>45506.541666666664</v>
      </c>
      <c r="BB488" s="94">
        <v>45506.545138888891</v>
      </c>
      <c r="BC488" s="94">
        <v>45506.572916666664</v>
      </c>
      <c r="BD488" s="94">
        <v>45506.79583333333</v>
      </c>
      <c r="BE488" s="95">
        <f t="shared" si="289"/>
        <v>0.25416666666569654</v>
      </c>
      <c r="BF488" s="95">
        <v>7.9861111111111105E-2</v>
      </c>
      <c r="BG488" s="95">
        <v>2.7777777777777776E-2</v>
      </c>
      <c r="BH488" s="95">
        <f t="shared" si="290"/>
        <v>3.4722222262644209E-3</v>
      </c>
      <c r="BI488" s="95">
        <f t="shared" si="290"/>
        <v>2.7777777773735579E-2</v>
      </c>
      <c r="BJ488" s="95">
        <f t="shared" si="290"/>
        <v>0.22291666666569654</v>
      </c>
      <c r="BK488" s="95">
        <f t="shared" si="291"/>
        <v>0.25069444443943212</v>
      </c>
      <c r="BL488" s="95">
        <f t="shared" si="292"/>
        <v>0.14305555555054322</v>
      </c>
      <c r="BM488" s="95">
        <f t="shared" si="293"/>
        <v>4.5833333332363196E-2</v>
      </c>
      <c r="BN488" s="110"/>
    </row>
    <row r="489" spans="1:66" s="8" customFormat="1" ht="12.75" customHeight="1" x14ac:dyDescent="0.25">
      <c r="A489" s="150">
        <v>437</v>
      </c>
      <c r="B489" s="150">
        <v>7</v>
      </c>
      <c r="C489" s="90">
        <v>5</v>
      </c>
      <c r="D489" s="111" t="s">
        <v>113</v>
      </c>
      <c r="E489" s="210" t="s">
        <v>596</v>
      </c>
      <c r="F489" s="150" t="s">
        <v>32</v>
      </c>
      <c r="G489" s="150" t="s">
        <v>15</v>
      </c>
      <c r="H489" s="150" t="s">
        <v>182</v>
      </c>
      <c r="I489" s="150" t="s">
        <v>672</v>
      </c>
      <c r="J489" s="151">
        <v>45506</v>
      </c>
      <c r="K489" s="135" t="s">
        <v>117</v>
      </c>
      <c r="L489" s="135">
        <v>261005881</v>
      </c>
      <c r="M489" s="151">
        <v>45507</v>
      </c>
      <c r="N489" s="220">
        <v>45506.8125</v>
      </c>
      <c r="O489" s="220">
        <v>45506.8125</v>
      </c>
      <c r="P489" s="152">
        <v>45506.815972222219</v>
      </c>
      <c r="Q489" s="152">
        <v>45506.993055555555</v>
      </c>
      <c r="R489" s="220" t="s">
        <v>118</v>
      </c>
      <c r="S489" s="152">
        <v>45507.083333333336</v>
      </c>
      <c r="T489" s="152">
        <v>45507.090277777781</v>
      </c>
      <c r="U489" s="152">
        <v>45507.191666666666</v>
      </c>
      <c r="V489" s="219">
        <f t="shared" si="284"/>
        <v>0.18055555555474712</v>
      </c>
      <c r="W489" s="165">
        <v>0.20833333333333334</v>
      </c>
      <c r="X489" s="219" t="str">
        <f t="shared" si="285"/>
        <v>00:00</v>
      </c>
      <c r="Y489" s="96">
        <v>0</v>
      </c>
      <c r="Z489" s="96">
        <v>58</v>
      </c>
      <c r="AA489" s="96">
        <f t="shared" si="278"/>
        <v>58</v>
      </c>
      <c r="AB489" s="97">
        <f t="shared" si="279"/>
        <v>0</v>
      </c>
      <c r="AC489" s="97">
        <f t="shared" si="280"/>
        <v>4025.67</v>
      </c>
      <c r="AD489" s="98">
        <v>4025.67</v>
      </c>
      <c r="AE489" s="98">
        <v>4000</v>
      </c>
      <c r="AF489" s="98">
        <v>4019.2</v>
      </c>
      <c r="AG489" s="98">
        <f t="shared" si="281"/>
        <v>-6.4700000000002547</v>
      </c>
      <c r="AH489" s="99">
        <v>1484</v>
      </c>
      <c r="AI489" s="100">
        <f t="shared" si="282"/>
        <v>5964492.7999999998</v>
      </c>
      <c r="AJ489" s="100">
        <f>(14.4*AH489)*3</f>
        <v>64108.800000000003</v>
      </c>
      <c r="AK489" s="100">
        <v>0</v>
      </c>
      <c r="AL489" s="100">
        <v>0</v>
      </c>
      <c r="AM489" s="100">
        <v>0</v>
      </c>
      <c r="AN489" s="100">
        <v>0</v>
      </c>
      <c r="AO489" s="100">
        <v>0</v>
      </c>
      <c r="AP489" s="100">
        <f t="shared" ref="AP489:AP520" si="294">ROUNDUP(SUM(AI489:AO489)*5%,0)</f>
        <v>301431</v>
      </c>
      <c r="AQ489" s="101">
        <f t="shared" si="286"/>
        <v>6330033</v>
      </c>
      <c r="AR489" s="101">
        <v>0</v>
      </c>
      <c r="AS489" s="101">
        <v>0</v>
      </c>
      <c r="AT489" s="102" t="s">
        <v>34</v>
      </c>
      <c r="AU489" s="109" t="s">
        <v>118</v>
      </c>
      <c r="AV489" s="222">
        <v>0</v>
      </c>
      <c r="AW489" s="105">
        <v>0</v>
      </c>
      <c r="AX489" s="216">
        <f t="shared" si="287"/>
        <v>-0.1609773089172038</v>
      </c>
      <c r="AY489" s="217">
        <f t="shared" si="288"/>
        <v>-9602</v>
      </c>
      <c r="AZ489" s="107"/>
      <c r="BA489" s="94">
        <v>45506.8125</v>
      </c>
      <c r="BB489" s="94">
        <v>45506.815972222219</v>
      </c>
      <c r="BC489" s="94">
        <v>45506.890972222223</v>
      </c>
      <c r="BD489" s="94">
        <v>45507.075694444444</v>
      </c>
      <c r="BE489" s="95">
        <f t="shared" si="289"/>
        <v>0.26319444444379769</v>
      </c>
      <c r="BF489" s="95">
        <v>3.4027777777777775E-2</v>
      </c>
      <c r="BG489" s="95">
        <v>9.0277777777777776E-2</v>
      </c>
      <c r="BH489" s="95">
        <f t="shared" si="290"/>
        <v>3.4722222189884633E-3</v>
      </c>
      <c r="BI489" s="95">
        <f t="shared" si="290"/>
        <v>7.5000000004365575E-2</v>
      </c>
      <c r="BJ489" s="95">
        <f t="shared" si="290"/>
        <v>0.18472222222044365</v>
      </c>
      <c r="BK489" s="95">
        <f t="shared" si="291"/>
        <v>0.25972222222480923</v>
      </c>
      <c r="BL489" s="95">
        <f t="shared" si="292"/>
        <v>0.13541666666925367</v>
      </c>
      <c r="BM489" s="95">
        <f t="shared" si="293"/>
        <v>5.486111111046435E-2</v>
      </c>
      <c r="BN489" s="110"/>
    </row>
    <row r="490" spans="1:66" s="8" customFormat="1" ht="12.75" customHeight="1" x14ac:dyDescent="0.25">
      <c r="A490" s="150">
        <v>438</v>
      </c>
      <c r="B490" s="150">
        <v>8</v>
      </c>
      <c r="C490" s="90">
        <v>9</v>
      </c>
      <c r="D490" s="111" t="s">
        <v>148</v>
      </c>
      <c r="E490" s="210" t="s">
        <v>655</v>
      </c>
      <c r="F490" s="150" t="s">
        <v>19</v>
      </c>
      <c r="G490" s="150" t="s">
        <v>17</v>
      </c>
      <c r="H490" s="150" t="s">
        <v>150</v>
      </c>
      <c r="I490" s="150" t="s">
        <v>673</v>
      </c>
      <c r="J490" s="151">
        <v>45505</v>
      </c>
      <c r="K490" s="135" t="s">
        <v>122</v>
      </c>
      <c r="L490" s="135">
        <v>461000403</v>
      </c>
      <c r="M490" s="151">
        <v>45507</v>
      </c>
      <c r="N490" s="220">
        <v>45507.208333333336</v>
      </c>
      <c r="O490" s="220">
        <v>45507.208333333336</v>
      </c>
      <c r="P490" s="152">
        <v>45507.211805555555</v>
      </c>
      <c r="Q490" s="152">
        <v>45507.40625</v>
      </c>
      <c r="R490" s="220" t="s">
        <v>118</v>
      </c>
      <c r="S490" s="152" t="s">
        <v>118</v>
      </c>
      <c r="T490" s="152">
        <v>45507.416666666664</v>
      </c>
      <c r="U490" s="152">
        <v>45507.495138888888</v>
      </c>
      <c r="V490" s="219">
        <f t="shared" si="284"/>
        <v>0.19791666666424135</v>
      </c>
      <c r="W490" s="165">
        <v>0.20833333333333334</v>
      </c>
      <c r="X490" s="219" t="str">
        <f t="shared" si="285"/>
        <v>00:00</v>
      </c>
      <c r="Y490" s="96">
        <v>1</v>
      </c>
      <c r="Z490" s="96">
        <v>57</v>
      </c>
      <c r="AA490" s="96">
        <f t="shared" si="278"/>
        <v>58</v>
      </c>
      <c r="AB490" s="97">
        <f t="shared" si="279"/>
        <v>67.970517241379312</v>
      </c>
      <c r="AC490" s="97">
        <f t="shared" si="280"/>
        <v>3874.3194827586208</v>
      </c>
      <c r="AD490" s="98">
        <v>3942.29</v>
      </c>
      <c r="AE490" s="98">
        <v>3958.6</v>
      </c>
      <c r="AF490" s="98">
        <v>3973.8</v>
      </c>
      <c r="AG490" s="98">
        <f t="shared" si="281"/>
        <v>31.510000000000218</v>
      </c>
      <c r="AH490" s="99">
        <v>672.5</v>
      </c>
      <c r="AI490" s="100">
        <f t="shared" si="282"/>
        <v>2672380.5</v>
      </c>
      <c r="AJ490" s="100">
        <f>(4.2*AH490)*2</f>
        <v>5649</v>
      </c>
      <c r="AK490" s="100">
        <v>0</v>
      </c>
      <c r="AL490" s="100">
        <v>0</v>
      </c>
      <c r="AM490" s="100">
        <v>0</v>
      </c>
      <c r="AN490" s="100">
        <v>0</v>
      </c>
      <c r="AO490" s="100"/>
      <c r="AP490" s="100">
        <f t="shared" si="294"/>
        <v>133902</v>
      </c>
      <c r="AQ490" s="101">
        <f t="shared" si="286"/>
        <v>2811932</v>
      </c>
      <c r="AR490" s="101">
        <v>0</v>
      </c>
      <c r="AS490" s="101">
        <v>0</v>
      </c>
      <c r="AT490" s="102" t="s">
        <v>34</v>
      </c>
      <c r="AU490" s="109" t="s">
        <v>118</v>
      </c>
      <c r="AV490" s="222">
        <v>0</v>
      </c>
      <c r="AW490" s="105">
        <v>0</v>
      </c>
      <c r="AX490" s="216">
        <f t="shared" si="287"/>
        <v>0.79294378177060287</v>
      </c>
      <c r="AY490" s="217">
        <f t="shared" si="288"/>
        <v>21191</v>
      </c>
      <c r="AZ490" s="107"/>
      <c r="BA490" s="94">
        <v>45507.208333333336</v>
      </c>
      <c r="BB490" s="94">
        <v>45507.211805555555</v>
      </c>
      <c r="BC490" s="94">
        <v>45507.229166666664</v>
      </c>
      <c r="BD490" s="94">
        <v>45507.397222222222</v>
      </c>
      <c r="BE490" s="95">
        <f t="shared" si="289"/>
        <v>0.18888888888614019</v>
      </c>
      <c r="BF490" s="95">
        <v>1.6666666666666666E-2</v>
      </c>
      <c r="BG490" s="95">
        <v>1.3888888888888888E-2</v>
      </c>
      <c r="BH490" s="95">
        <f t="shared" si="290"/>
        <v>3.4722222189884633E-3</v>
      </c>
      <c r="BI490" s="95">
        <f t="shared" si="290"/>
        <v>1.7361111109494232E-2</v>
      </c>
      <c r="BJ490" s="95">
        <f t="shared" si="290"/>
        <v>0.1680555555576575</v>
      </c>
      <c r="BK490" s="95">
        <f t="shared" si="291"/>
        <v>0.18541666666715173</v>
      </c>
      <c r="BL490" s="95">
        <f t="shared" si="292"/>
        <v>0.15486111111159617</v>
      </c>
      <c r="BM490" s="95" t="str">
        <f t="shared" si="293"/>
        <v>00:00</v>
      </c>
      <c r="BN490" s="110"/>
    </row>
    <row r="491" spans="1:66" s="8" customFormat="1" ht="12.75" customHeight="1" x14ac:dyDescent="0.25">
      <c r="A491" s="150">
        <v>439</v>
      </c>
      <c r="B491" s="150">
        <v>9</v>
      </c>
      <c r="C491" s="90">
        <v>2</v>
      </c>
      <c r="D491" s="111" t="s">
        <v>113</v>
      </c>
      <c r="E491" s="210" t="s">
        <v>667</v>
      </c>
      <c r="F491" s="150" t="s">
        <v>27</v>
      </c>
      <c r="G491" s="150" t="s">
        <v>12</v>
      </c>
      <c r="H491" s="150" t="s">
        <v>115</v>
      </c>
      <c r="I491" s="150" t="s">
        <v>674</v>
      </c>
      <c r="J491" s="151">
        <v>45507</v>
      </c>
      <c r="K491" s="135" t="s">
        <v>117</v>
      </c>
      <c r="L491" s="135">
        <v>282000999</v>
      </c>
      <c r="M491" s="151">
        <v>45507</v>
      </c>
      <c r="N491" s="220">
        <v>45507.430555555555</v>
      </c>
      <c r="O491" s="220">
        <v>45507.430555555555</v>
      </c>
      <c r="P491" s="152">
        <v>45507.4375</v>
      </c>
      <c r="Q491" s="152">
        <v>45507.635416666664</v>
      </c>
      <c r="R491" s="220" t="s">
        <v>118</v>
      </c>
      <c r="S491" s="152" t="s">
        <v>118</v>
      </c>
      <c r="T491" s="152">
        <v>45507.645833333336</v>
      </c>
      <c r="U491" s="152">
        <v>45507.747916666667</v>
      </c>
      <c r="V491" s="219">
        <f t="shared" si="284"/>
        <v>0.20486111110949423</v>
      </c>
      <c r="W491" s="165">
        <v>0.20833333333333334</v>
      </c>
      <c r="X491" s="219" t="str">
        <f t="shared" si="285"/>
        <v>00:00</v>
      </c>
      <c r="Y491" s="96">
        <v>0</v>
      </c>
      <c r="Z491" s="96">
        <v>58</v>
      </c>
      <c r="AA491" s="96">
        <f t="shared" si="278"/>
        <v>58</v>
      </c>
      <c r="AB491" s="97">
        <f t="shared" si="279"/>
        <v>0</v>
      </c>
      <c r="AC491" s="97">
        <f t="shared" si="280"/>
        <v>3912.0800000000004</v>
      </c>
      <c r="AD491" s="98">
        <v>3912.08</v>
      </c>
      <c r="AE491" s="98">
        <v>3965.8</v>
      </c>
      <c r="AF491" s="98">
        <v>3972</v>
      </c>
      <c r="AG491" s="98">
        <f t="shared" si="281"/>
        <v>59.920000000000073</v>
      </c>
      <c r="AH491" s="99">
        <v>1586.7</v>
      </c>
      <c r="AI491" s="100">
        <f t="shared" si="282"/>
        <v>6302372.4000000004</v>
      </c>
      <c r="AJ491" s="100">
        <f>(0*AH491)*2</f>
        <v>0</v>
      </c>
      <c r="AK491" s="100">
        <v>0</v>
      </c>
      <c r="AL491" s="100">
        <v>15440</v>
      </c>
      <c r="AM491" s="100">
        <v>0</v>
      </c>
      <c r="AN491" s="100">
        <v>0</v>
      </c>
      <c r="AO491" s="100">
        <f>IFERROR(AF491*20+(((AJ491/AH491)/2)*20),0)</f>
        <v>79440</v>
      </c>
      <c r="AP491" s="100">
        <f t="shared" si="294"/>
        <v>319863</v>
      </c>
      <c r="AQ491" s="101">
        <f t="shared" si="286"/>
        <v>6717116</v>
      </c>
      <c r="AR491" s="101">
        <v>0</v>
      </c>
      <c r="AS491" s="101">
        <v>0</v>
      </c>
      <c r="AT491" s="102" t="s">
        <v>34</v>
      </c>
      <c r="AU491" s="109" t="s">
        <v>118</v>
      </c>
      <c r="AV491" s="222">
        <v>0</v>
      </c>
      <c r="AW491" s="105">
        <v>0</v>
      </c>
      <c r="AX491" s="216">
        <f t="shared" si="287"/>
        <v>1.5085599194360542</v>
      </c>
      <c r="AY491" s="217">
        <f t="shared" si="288"/>
        <v>95076</v>
      </c>
      <c r="AZ491" s="107"/>
      <c r="BA491" s="94">
        <v>45507.430555555555</v>
      </c>
      <c r="BB491" s="94">
        <v>45507.4375</v>
      </c>
      <c r="BC491" s="94">
        <v>45507.454861111109</v>
      </c>
      <c r="BD491" s="94">
        <v>45507.613888888889</v>
      </c>
      <c r="BE491" s="95">
        <f t="shared" si="289"/>
        <v>0.18333333333430346</v>
      </c>
      <c r="BF491" s="95">
        <v>6.9444444444444441E-3</v>
      </c>
      <c r="BG491" s="95">
        <v>5.6250000000000001E-2</v>
      </c>
      <c r="BH491" s="95">
        <f t="shared" si="290"/>
        <v>6.9444444452528842E-3</v>
      </c>
      <c r="BI491" s="95">
        <f t="shared" si="290"/>
        <v>1.7361111109494232E-2</v>
      </c>
      <c r="BJ491" s="95">
        <f t="shared" si="290"/>
        <v>0.15902777777955635</v>
      </c>
      <c r="BK491" s="95">
        <f t="shared" si="291"/>
        <v>0.17638888888905058</v>
      </c>
      <c r="BL491" s="95">
        <f t="shared" si="292"/>
        <v>0.11319444444460613</v>
      </c>
      <c r="BM491" s="95" t="str">
        <f t="shared" si="293"/>
        <v>00:00</v>
      </c>
      <c r="BN491" s="110"/>
    </row>
    <row r="492" spans="1:66" s="8" customFormat="1" ht="12.75" customHeight="1" x14ac:dyDescent="0.25">
      <c r="A492" s="150">
        <v>440</v>
      </c>
      <c r="B492" s="150">
        <v>10</v>
      </c>
      <c r="C492" s="90">
        <v>10</v>
      </c>
      <c r="D492" s="111" t="s">
        <v>148</v>
      </c>
      <c r="E492" s="210" t="s">
        <v>655</v>
      </c>
      <c r="F492" s="150" t="s">
        <v>19</v>
      </c>
      <c r="G492" s="150" t="s">
        <v>17</v>
      </c>
      <c r="H492" s="150" t="s">
        <v>150</v>
      </c>
      <c r="I492" s="150" t="s">
        <v>675</v>
      </c>
      <c r="J492" s="151">
        <v>45506</v>
      </c>
      <c r="K492" s="135" t="s">
        <v>122</v>
      </c>
      <c r="L492" s="135">
        <v>461000404</v>
      </c>
      <c r="M492" s="151">
        <v>45508</v>
      </c>
      <c r="N492" s="220">
        <v>45507.614583333336</v>
      </c>
      <c r="O492" s="220">
        <v>45507.614583333336</v>
      </c>
      <c r="P492" s="152">
        <v>45507.618055555555</v>
      </c>
      <c r="Q492" s="152">
        <v>45507.822916666664</v>
      </c>
      <c r="R492" s="220" t="s">
        <v>118</v>
      </c>
      <c r="S492" s="152">
        <v>45507.854166666664</v>
      </c>
      <c r="T492" s="152">
        <v>45507.875</v>
      </c>
      <c r="U492" s="152">
        <v>45508.03125</v>
      </c>
      <c r="V492" s="219">
        <f t="shared" si="284"/>
        <v>0.20833333332848269</v>
      </c>
      <c r="W492" s="165">
        <v>0.20833333333333334</v>
      </c>
      <c r="X492" s="219" t="str">
        <f t="shared" si="285"/>
        <v>00:00</v>
      </c>
      <c r="Y492" s="96">
        <v>0</v>
      </c>
      <c r="Z492" s="96">
        <v>59</v>
      </c>
      <c r="AA492" s="96">
        <f t="shared" si="278"/>
        <v>59</v>
      </c>
      <c r="AB492" s="97">
        <f t="shared" si="279"/>
        <v>0</v>
      </c>
      <c r="AC492" s="97">
        <f t="shared" si="280"/>
        <v>4089.83</v>
      </c>
      <c r="AD492" s="98">
        <v>4089.83</v>
      </c>
      <c r="AE492" s="98">
        <v>4051.8</v>
      </c>
      <c r="AF492" s="98">
        <v>4099.2</v>
      </c>
      <c r="AG492" s="98">
        <f t="shared" si="281"/>
        <v>9.3699999999998909</v>
      </c>
      <c r="AH492" s="99">
        <v>672.5</v>
      </c>
      <c r="AI492" s="100">
        <f t="shared" si="282"/>
        <v>2756712</v>
      </c>
      <c r="AJ492" s="100">
        <f>(0*AH492)*2</f>
        <v>0</v>
      </c>
      <c r="AK492" s="100">
        <v>0</v>
      </c>
      <c r="AL492" s="100">
        <v>48580</v>
      </c>
      <c r="AM492" s="100">
        <v>0</v>
      </c>
      <c r="AN492" s="100">
        <v>0</v>
      </c>
      <c r="AO492" s="100">
        <v>0</v>
      </c>
      <c r="AP492" s="100">
        <f t="shared" si="294"/>
        <v>140265</v>
      </c>
      <c r="AQ492" s="101">
        <f t="shared" si="286"/>
        <v>2945557</v>
      </c>
      <c r="AR492" s="101">
        <v>0</v>
      </c>
      <c r="AS492" s="101">
        <v>0</v>
      </c>
      <c r="AT492" s="102" t="s">
        <v>33</v>
      </c>
      <c r="AU492" s="109">
        <v>37</v>
      </c>
      <c r="AV492" s="222">
        <f>89.63-41.63</f>
        <v>47.999999999999993</v>
      </c>
      <c r="AW492" s="105">
        <v>0</v>
      </c>
      <c r="AX492" s="216">
        <f t="shared" si="287"/>
        <v>0.2285811865729872</v>
      </c>
      <c r="AY492" s="217">
        <f t="shared" si="288"/>
        <v>6302</v>
      </c>
      <c r="AZ492" s="107"/>
      <c r="BA492" s="94">
        <v>45507.614583333336</v>
      </c>
      <c r="BB492" s="94">
        <v>45507.618055555555</v>
      </c>
      <c r="BC492" s="94">
        <v>45507.644444444442</v>
      </c>
      <c r="BD492" s="94">
        <v>45507.845833333333</v>
      </c>
      <c r="BE492" s="95">
        <f t="shared" si="289"/>
        <v>0.23124999999708962</v>
      </c>
      <c r="BF492" s="95">
        <v>5.4166666666666669E-2</v>
      </c>
      <c r="BG492" s="95">
        <v>3.472222222222222E-3</v>
      </c>
      <c r="BH492" s="95">
        <f t="shared" si="290"/>
        <v>3.4722222189884633E-3</v>
      </c>
      <c r="BI492" s="95">
        <f t="shared" si="290"/>
        <v>2.6388888887595385E-2</v>
      </c>
      <c r="BJ492" s="95">
        <f t="shared" si="290"/>
        <v>0.20138888889050577</v>
      </c>
      <c r="BK492" s="95">
        <f t="shared" si="291"/>
        <v>0.22777777777810115</v>
      </c>
      <c r="BL492" s="95">
        <f t="shared" si="292"/>
        <v>0.17013888888921228</v>
      </c>
      <c r="BM492" s="95">
        <f t="shared" si="293"/>
        <v>2.2916666663756274E-2</v>
      </c>
      <c r="BN492" s="110"/>
    </row>
    <row r="493" spans="1:66" s="8" customFormat="1" ht="12.75" customHeight="1" x14ac:dyDescent="0.25">
      <c r="A493" s="150">
        <v>441</v>
      </c>
      <c r="B493" s="150">
        <v>11</v>
      </c>
      <c r="C493" s="90">
        <v>6</v>
      </c>
      <c r="D493" s="111" t="s">
        <v>113</v>
      </c>
      <c r="E493" s="210" t="s">
        <v>596</v>
      </c>
      <c r="F493" s="150" t="s">
        <v>32</v>
      </c>
      <c r="G493" s="150" t="s">
        <v>15</v>
      </c>
      <c r="H493" s="150" t="s">
        <v>182</v>
      </c>
      <c r="I493" s="150" t="s">
        <v>676</v>
      </c>
      <c r="J493" s="151">
        <v>45507</v>
      </c>
      <c r="K493" s="135" t="s">
        <v>117</v>
      </c>
      <c r="L493" s="135">
        <v>261005882</v>
      </c>
      <c r="M493" s="151">
        <v>45508</v>
      </c>
      <c r="N493" s="220">
        <v>45507.833333333336</v>
      </c>
      <c r="O493" s="220">
        <v>45507.833333333336</v>
      </c>
      <c r="P493" s="152">
        <v>45507.836805555555</v>
      </c>
      <c r="Q493" s="152">
        <v>45507.989583333336</v>
      </c>
      <c r="R493" s="220" t="s">
        <v>118</v>
      </c>
      <c r="S493" s="152">
        <v>45508.083333333336</v>
      </c>
      <c r="T493" s="152">
        <v>45508.097222222219</v>
      </c>
      <c r="U493" s="152">
        <v>45508.211805555555</v>
      </c>
      <c r="V493" s="219">
        <f t="shared" si="284"/>
        <v>0.15625</v>
      </c>
      <c r="W493" s="165">
        <v>0.20833333333333334</v>
      </c>
      <c r="X493" s="219" t="str">
        <f t="shared" si="285"/>
        <v>00:00</v>
      </c>
      <c r="Y493" s="96">
        <v>0</v>
      </c>
      <c r="Z493" s="96">
        <v>58</v>
      </c>
      <c r="AA493" s="96">
        <f t="shared" si="278"/>
        <v>58</v>
      </c>
      <c r="AB493" s="97">
        <f t="shared" si="279"/>
        <v>0</v>
      </c>
      <c r="AC493" s="97">
        <f t="shared" si="280"/>
        <v>3890.42</v>
      </c>
      <c r="AD493" s="98">
        <v>3890.42</v>
      </c>
      <c r="AE493" s="98">
        <v>3976.4</v>
      </c>
      <c r="AF493" s="98">
        <v>3980.2</v>
      </c>
      <c r="AG493" s="98">
        <f t="shared" si="281"/>
        <v>89.779999999999745</v>
      </c>
      <c r="AH493" s="99">
        <v>1484</v>
      </c>
      <c r="AI493" s="100">
        <f t="shared" si="282"/>
        <v>5906616.7999999998</v>
      </c>
      <c r="AJ493" s="100">
        <f>(0*AH493)*2</f>
        <v>0</v>
      </c>
      <c r="AK493" s="100">
        <v>0</v>
      </c>
      <c r="AL493" s="100">
        <v>0</v>
      </c>
      <c r="AM493" s="100">
        <v>0</v>
      </c>
      <c r="AN493" s="100">
        <v>0</v>
      </c>
      <c r="AO493" s="100">
        <v>0</v>
      </c>
      <c r="AP493" s="100">
        <f t="shared" si="294"/>
        <v>295331</v>
      </c>
      <c r="AQ493" s="101">
        <f t="shared" si="286"/>
        <v>6201948</v>
      </c>
      <c r="AR493" s="101">
        <v>0</v>
      </c>
      <c r="AS493" s="101">
        <v>0</v>
      </c>
      <c r="AT493" s="102" t="s">
        <v>33</v>
      </c>
      <c r="AU493" s="109" t="s">
        <v>118</v>
      </c>
      <c r="AV493" s="222">
        <v>0</v>
      </c>
      <c r="AW493" s="105">
        <v>0</v>
      </c>
      <c r="AX493" s="216">
        <f t="shared" si="287"/>
        <v>2.2556655444449967</v>
      </c>
      <c r="AY493" s="217">
        <f t="shared" si="288"/>
        <v>133234</v>
      </c>
      <c r="AZ493" s="107"/>
      <c r="BA493" s="94">
        <v>45507.833333333336</v>
      </c>
      <c r="BB493" s="94">
        <v>45507.836805555555</v>
      </c>
      <c r="BC493" s="94">
        <v>45507.900694444441</v>
      </c>
      <c r="BD493" s="94">
        <v>45508.065972222219</v>
      </c>
      <c r="BE493" s="95">
        <f t="shared" si="289"/>
        <v>0.23263888888322981</v>
      </c>
      <c r="BF493" s="95">
        <v>6.2500000000000003E-3</v>
      </c>
      <c r="BG493" s="95">
        <v>0.10625</v>
      </c>
      <c r="BH493" s="95">
        <f t="shared" si="290"/>
        <v>3.4722222189884633E-3</v>
      </c>
      <c r="BI493" s="95">
        <f t="shared" si="290"/>
        <v>6.3888888886140194E-2</v>
      </c>
      <c r="BJ493" s="95">
        <f t="shared" si="290"/>
        <v>0.16527777777810115</v>
      </c>
      <c r="BK493" s="95">
        <f t="shared" si="291"/>
        <v>0.22916666666424135</v>
      </c>
      <c r="BL493" s="95">
        <f t="shared" si="292"/>
        <v>0.11666666666424134</v>
      </c>
      <c r="BM493" s="95">
        <f t="shared" si="293"/>
        <v>2.4305555549896468E-2</v>
      </c>
      <c r="BN493" s="110"/>
    </row>
    <row r="494" spans="1:66" s="8" customFormat="1" ht="12.75" customHeight="1" x14ac:dyDescent="0.25">
      <c r="A494" s="150">
        <v>442</v>
      </c>
      <c r="B494" s="150">
        <v>12</v>
      </c>
      <c r="C494" s="90">
        <v>11</v>
      </c>
      <c r="D494" s="111" t="s">
        <v>148</v>
      </c>
      <c r="E494" s="210" t="s">
        <v>655</v>
      </c>
      <c r="F494" s="150" t="s">
        <v>19</v>
      </c>
      <c r="G494" s="150" t="s">
        <v>17</v>
      </c>
      <c r="H494" s="150" t="s">
        <v>150</v>
      </c>
      <c r="I494" s="150" t="s">
        <v>677</v>
      </c>
      <c r="J494" s="151">
        <v>45506</v>
      </c>
      <c r="K494" s="135" t="s">
        <v>122</v>
      </c>
      <c r="L494" s="135">
        <v>461000405</v>
      </c>
      <c r="M494" s="151">
        <v>45508</v>
      </c>
      <c r="N494" s="220">
        <v>45508.072916666664</v>
      </c>
      <c r="O494" s="220">
        <v>45508.03125</v>
      </c>
      <c r="P494" s="152">
        <v>45508.076388888891</v>
      </c>
      <c r="Q494" s="152">
        <v>45508.239583333336</v>
      </c>
      <c r="R494" s="220">
        <v>45508.072916666664</v>
      </c>
      <c r="S494" s="152" t="s">
        <v>118</v>
      </c>
      <c r="T494" s="152">
        <v>45508.270833333336</v>
      </c>
      <c r="U494" s="152">
        <v>45508.397222222222</v>
      </c>
      <c r="V494" s="219">
        <f t="shared" si="284"/>
        <v>0.20833333333575865</v>
      </c>
      <c r="W494" s="165">
        <v>0.20833333333333334</v>
      </c>
      <c r="X494" s="219">
        <f t="shared" si="285"/>
        <v>2.4253099528692701E-12</v>
      </c>
      <c r="Y494" s="96">
        <v>0</v>
      </c>
      <c r="Z494" s="96">
        <v>58</v>
      </c>
      <c r="AA494" s="96">
        <f t="shared" si="278"/>
        <v>58</v>
      </c>
      <c r="AB494" s="97">
        <f t="shared" si="279"/>
        <v>0</v>
      </c>
      <c r="AC494" s="97">
        <f t="shared" si="280"/>
        <v>3942.4699999999993</v>
      </c>
      <c r="AD494" s="98">
        <v>3942.47</v>
      </c>
      <c r="AE494" s="98">
        <v>3970.6</v>
      </c>
      <c r="AF494" s="98">
        <v>3979.6</v>
      </c>
      <c r="AG494" s="98">
        <f t="shared" si="281"/>
        <v>37.130000000000109</v>
      </c>
      <c r="AH494" s="99">
        <v>672.5</v>
      </c>
      <c r="AI494" s="100">
        <f t="shared" si="282"/>
        <v>2676281</v>
      </c>
      <c r="AJ494" s="100">
        <f>(1.6*AH494)*2</f>
        <v>2152</v>
      </c>
      <c r="AK494" s="100">
        <v>0</v>
      </c>
      <c r="AL494" s="100">
        <v>0</v>
      </c>
      <c r="AM494" s="100">
        <v>0</v>
      </c>
      <c r="AN494" s="100">
        <v>0</v>
      </c>
      <c r="AO494" s="100"/>
      <c r="AP494" s="100">
        <f t="shared" si="294"/>
        <v>133922</v>
      </c>
      <c r="AQ494" s="101">
        <f t="shared" si="286"/>
        <v>2812355</v>
      </c>
      <c r="AR494" s="101">
        <v>0</v>
      </c>
      <c r="AS494" s="101">
        <v>0</v>
      </c>
      <c r="AT494" s="102" t="s">
        <v>34</v>
      </c>
      <c r="AU494" s="109" t="s">
        <v>118</v>
      </c>
      <c r="AV494" s="222">
        <v>0</v>
      </c>
      <c r="AW494" s="105">
        <v>0</v>
      </c>
      <c r="AX494" s="216">
        <f t="shared" si="287"/>
        <v>0.93300834254699239</v>
      </c>
      <c r="AY494" s="217">
        <f t="shared" si="288"/>
        <v>24970</v>
      </c>
      <c r="AZ494" s="107"/>
      <c r="BA494" s="94">
        <v>45508.072916666664</v>
      </c>
      <c r="BB494" s="94">
        <v>45508.076388888891</v>
      </c>
      <c r="BC494" s="94">
        <v>45508.09652777778</v>
      </c>
      <c r="BD494" s="94">
        <v>45508.226388888892</v>
      </c>
      <c r="BE494" s="95">
        <f t="shared" si="289"/>
        <v>0.15347222222771961</v>
      </c>
      <c r="BF494" s="95">
        <v>1.1805555555555555E-2</v>
      </c>
      <c r="BG494" s="95">
        <v>8.3333333333333332E-3</v>
      </c>
      <c r="BH494" s="95">
        <f t="shared" si="290"/>
        <v>3.4722222262644209E-3</v>
      </c>
      <c r="BI494" s="95">
        <f t="shared" si="290"/>
        <v>2.0138888889050577E-2</v>
      </c>
      <c r="BJ494" s="95">
        <f t="shared" si="290"/>
        <v>0.12986111111240461</v>
      </c>
      <c r="BK494" s="95">
        <f t="shared" si="291"/>
        <v>0.15000000000145519</v>
      </c>
      <c r="BL494" s="95">
        <f t="shared" si="292"/>
        <v>0.12986111111256629</v>
      </c>
      <c r="BM494" s="95" t="str">
        <f t="shared" si="293"/>
        <v>00:00</v>
      </c>
      <c r="BN494" s="110"/>
    </row>
    <row r="495" spans="1:66" s="8" customFormat="1" ht="12.75" customHeight="1" x14ac:dyDescent="0.25">
      <c r="A495" s="150">
        <v>443</v>
      </c>
      <c r="B495" s="150">
        <v>13</v>
      </c>
      <c r="C495" s="90">
        <v>11</v>
      </c>
      <c r="D495" s="111" t="s">
        <v>113</v>
      </c>
      <c r="E495" s="210" t="s">
        <v>530</v>
      </c>
      <c r="F495" s="150" t="s">
        <v>29</v>
      </c>
      <c r="G495" s="150" t="s">
        <v>15</v>
      </c>
      <c r="H495" s="150" t="s">
        <v>124</v>
      </c>
      <c r="I495" s="150" t="s">
        <v>678</v>
      </c>
      <c r="J495" s="151">
        <v>45508</v>
      </c>
      <c r="K495" s="135" t="s">
        <v>117</v>
      </c>
      <c r="L495" s="135">
        <v>261005883</v>
      </c>
      <c r="M495" s="151">
        <v>45508</v>
      </c>
      <c r="N495" s="220">
        <v>45508.3125</v>
      </c>
      <c r="O495" s="220">
        <v>45508.3125</v>
      </c>
      <c r="P495" s="152">
        <v>45508.34375</v>
      </c>
      <c r="Q495" s="152">
        <v>45508.520833333336</v>
      </c>
      <c r="R495" s="220" t="s">
        <v>118</v>
      </c>
      <c r="S495" s="152">
        <v>45508.5625</v>
      </c>
      <c r="T495" s="152">
        <v>45508.611111111109</v>
      </c>
      <c r="U495" s="152">
        <v>45508.742361111108</v>
      </c>
      <c r="V495" s="219">
        <f t="shared" si="284"/>
        <v>0.20833333333575865</v>
      </c>
      <c r="W495" s="165">
        <v>0.20833333333333334</v>
      </c>
      <c r="X495" s="219">
        <f t="shared" si="285"/>
        <v>2.4253099528692701E-12</v>
      </c>
      <c r="Y495" s="96">
        <v>0</v>
      </c>
      <c r="Z495" s="96">
        <v>59</v>
      </c>
      <c r="AA495" s="96">
        <f t="shared" si="278"/>
        <v>59</v>
      </c>
      <c r="AB495" s="97">
        <f t="shared" si="279"/>
        <v>0</v>
      </c>
      <c r="AC495" s="97">
        <f t="shared" si="280"/>
        <v>3959.93</v>
      </c>
      <c r="AD495" s="98">
        <v>3959.93</v>
      </c>
      <c r="AE495" s="98">
        <v>4033</v>
      </c>
      <c r="AF495" s="98">
        <v>4037.6</v>
      </c>
      <c r="AG495" s="98">
        <f t="shared" si="281"/>
        <v>77.670000000000073</v>
      </c>
      <c r="AH495" s="99">
        <v>797.2</v>
      </c>
      <c r="AI495" s="100">
        <f t="shared" si="282"/>
        <v>3218774.72</v>
      </c>
      <c r="AJ495" s="100">
        <f>(0.4*AH495)*2</f>
        <v>637.7600000000001</v>
      </c>
      <c r="AK495" s="100">
        <v>0</v>
      </c>
      <c r="AL495" s="100">
        <v>0</v>
      </c>
      <c r="AM495" s="100">
        <v>0</v>
      </c>
      <c r="AN495" s="100">
        <v>0</v>
      </c>
      <c r="AO495" s="100">
        <v>0</v>
      </c>
      <c r="AP495" s="100">
        <f t="shared" si="294"/>
        <v>160971</v>
      </c>
      <c r="AQ495" s="101">
        <f t="shared" si="286"/>
        <v>3380384</v>
      </c>
      <c r="AR495" s="101">
        <v>0</v>
      </c>
      <c r="AS495" s="101">
        <v>0</v>
      </c>
      <c r="AT495" s="102" t="s">
        <v>33</v>
      </c>
      <c r="AU495" s="109" t="s">
        <v>118</v>
      </c>
      <c r="AV495" s="222">
        <v>0</v>
      </c>
      <c r="AW495" s="105">
        <v>0</v>
      </c>
      <c r="AX495" s="216">
        <f t="shared" si="287"/>
        <v>1.9236675252625339</v>
      </c>
      <c r="AY495" s="217">
        <f t="shared" si="288"/>
        <v>61919</v>
      </c>
      <c r="AZ495" s="107"/>
      <c r="BA495" s="94">
        <v>45508.3125</v>
      </c>
      <c r="BB495" s="94">
        <v>45508.350694444445</v>
      </c>
      <c r="BC495" s="94">
        <v>45508.350694444445</v>
      </c>
      <c r="BD495" s="94">
        <v>45508.565972222219</v>
      </c>
      <c r="BE495" s="95">
        <f t="shared" si="289"/>
        <v>0.25347222221898846</v>
      </c>
      <c r="BF495" s="95">
        <v>2.8472222222222222E-2</v>
      </c>
      <c r="BG495" s="95">
        <v>4.9305555555555554E-2</v>
      </c>
      <c r="BH495" s="95">
        <f t="shared" si="290"/>
        <v>3.8194444445252884E-2</v>
      </c>
      <c r="BI495" s="95">
        <f t="shared" si="290"/>
        <v>0</v>
      </c>
      <c r="BJ495" s="95">
        <f t="shared" si="290"/>
        <v>0.21527777777373558</v>
      </c>
      <c r="BK495" s="95">
        <f t="shared" si="291"/>
        <v>0.21527777777373558</v>
      </c>
      <c r="BL495" s="95">
        <f t="shared" si="292"/>
        <v>0.1374999999959578</v>
      </c>
      <c r="BM495" s="95">
        <f t="shared" si="293"/>
        <v>4.5138888885655121E-2</v>
      </c>
      <c r="BN495" s="110"/>
    </row>
    <row r="496" spans="1:66" s="8" customFormat="1" ht="12.75" customHeight="1" x14ac:dyDescent="0.25">
      <c r="A496" s="150">
        <v>444</v>
      </c>
      <c r="B496" s="150">
        <v>14</v>
      </c>
      <c r="C496" s="90">
        <v>12</v>
      </c>
      <c r="D496" s="111" t="s">
        <v>148</v>
      </c>
      <c r="E496" s="210" t="s">
        <v>655</v>
      </c>
      <c r="F496" s="150" t="s">
        <v>19</v>
      </c>
      <c r="G496" s="150" t="s">
        <v>17</v>
      </c>
      <c r="H496" s="150" t="s">
        <v>150</v>
      </c>
      <c r="I496" s="150" t="s">
        <v>679</v>
      </c>
      <c r="J496" s="151">
        <v>45507</v>
      </c>
      <c r="K496" s="135" t="s">
        <v>122</v>
      </c>
      <c r="L496" s="135">
        <v>461000406</v>
      </c>
      <c r="M496" s="151">
        <v>45508</v>
      </c>
      <c r="N496" s="220">
        <v>45508.5625</v>
      </c>
      <c r="O496" s="220">
        <v>45508.5625</v>
      </c>
      <c r="P496" s="152">
        <v>45508.565972222219</v>
      </c>
      <c r="Q496" s="152">
        <v>45508.770833333336</v>
      </c>
      <c r="R496" s="220" t="s">
        <v>118</v>
      </c>
      <c r="S496" s="152">
        <v>45508.8125</v>
      </c>
      <c r="T496" s="152">
        <v>45508.861111111109</v>
      </c>
      <c r="U496" s="152">
        <v>45508.958333333336</v>
      </c>
      <c r="V496" s="219">
        <f t="shared" si="284"/>
        <v>0.20833333333575865</v>
      </c>
      <c r="W496" s="165">
        <v>0.20833333333333334</v>
      </c>
      <c r="X496" s="219">
        <f t="shared" si="285"/>
        <v>2.4253099528692701E-12</v>
      </c>
      <c r="Y496" s="96">
        <v>0</v>
      </c>
      <c r="Z496" s="96">
        <v>58</v>
      </c>
      <c r="AA496" s="96">
        <f t="shared" si="278"/>
        <v>58</v>
      </c>
      <c r="AB496" s="97">
        <f t="shared" si="279"/>
        <v>0</v>
      </c>
      <c r="AC496" s="97">
        <f t="shared" si="280"/>
        <v>3979.0299999999997</v>
      </c>
      <c r="AD496" s="98">
        <v>3979.03</v>
      </c>
      <c r="AE496" s="98">
        <v>3975.1</v>
      </c>
      <c r="AF496" s="98">
        <v>3986</v>
      </c>
      <c r="AG496" s="98">
        <f t="shared" si="281"/>
        <v>6.9699999999997999</v>
      </c>
      <c r="AH496" s="99">
        <v>672.5</v>
      </c>
      <c r="AI496" s="100">
        <f t="shared" si="282"/>
        <v>2680585</v>
      </c>
      <c r="AJ496" s="100">
        <f>(15.4*AH496)*3</f>
        <v>31069.5</v>
      </c>
      <c r="AK496" s="100">
        <v>0</v>
      </c>
      <c r="AL496" s="100">
        <v>0</v>
      </c>
      <c r="AM496" s="100">
        <v>0</v>
      </c>
      <c r="AN496" s="100">
        <v>0</v>
      </c>
      <c r="AO496" s="100">
        <v>0</v>
      </c>
      <c r="AP496" s="100">
        <f t="shared" si="294"/>
        <v>135583</v>
      </c>
      <c r="AQ496" s="101">
        <f t="shared" si="286"/>
        <v>2847238</v>
      </c>
      <c r="AR496" s="101">
        <v>0</v>
      </c>
      <c r="AS496" s="101">
        <v>0</v>
      </c>
      <c r="AT496" s="102" t="s">
        <v>34</v>
      </c>
      <c r="AU496" s="109" t="s">
        <v>118</v>
      </c>
      <c r="AV496" s="222">
        <v>0</v>
      </c>
      <c r="AW496" s="105">
        <v>0</v>
      </c>
      <c r="AX496" s="216">
        <f t="shared" si="287"/>
        <v>0.17486201705970394</v>
      </c>
      <c r="AY496" s="217">
        <f t="shared" si="288"/>
        <v>4688</v>
      </c>
      <c r="AZ496" s="107"/>
      <c r="BA496" s="94">
        <v>45508.5625</v>
      </c>
      <c r="BB496" s="94">
        <v>45508.565972222219</v>
      </c>
      <c r="BC496" s="94">
        <v>45508.59375</v>
      </c>
      <c r="BD496" s="94">
        <v>45508.834722222222</v>
      </c>
      <c r="BE496" s="95">
        <f t="shared" si="289"/>
        <v>0.27222222222189885</v>
      </c>
      <c r="BF496" s="95">
        <v>8.0555555555555561E-2</v>
      </c>
      <c r="BG496" s="95">
        <v>2.7777777777777776E-2</v>
      </c>
      <c r="BH496" s="95">
        <f t="shared" si="290"/>
        <v>3.4722222189884633E-3</v>
      </c>
      <c r="BI496" s="95">
        <f t="shared" si="290"/>
        <v>2.7777777781011537E-2</v>
      </c>
      <c r="BJ496" s="95">
        <f t="shared" si="290"/>
        <v>0.24097222222189885</v>
      </c>
      <c r="BK496" s="95">
        <f t="shared" si="291"/>
        <v>0.26875000000291038</v>
      </c>
      <c r="BL496" s="95">
        <f t="shared" si="292"/>
        <v>0.16041666666957705</v>
      </c>
      <c r="BM496" s="95">
        <f t="shared" si="293"/>
        <v>6.3888888888565504E-2</v>
      </c>
      <c r="BN496" s="110"/>
    </row>
    <row r="497" spans="1:66" s="8" customFormat="1" ht="12.75" customHeight="1" x14ac:dyDescent="0.25">
      <c r="A497" s="150">
        <v>445</v>
      </c>
      <c r="B497" s="150">
        <v>15</v>
      </c>
      <c r="C497" s="90">
        <v>7</v>
      </c>
      <c r="D497" s="111" t="s">
        <v>113</v>
      </c>
      <c r="E497" s="210" t="s">
        <v>596</v>
      </c>
      <c r="F497" s="150" t="s">
        <v>32</v>
      </c>
      <c r="G497" s="150" t="s">
        <v>15</v>
      </c>
      <c r="H497" s="150" t="s">
        <v>182</v>
      </c>
      <c r="I497" s="150" t="s">
        <v>680</v>
      </c>
      <c r="J497" s="151">
        <v>45508</v>
      </c>
      <c r="K497" s="135" t="s">
        <v>117</v>
      </c>
      <c r="L497" s="135">
        <v>261005885</v>
      </c>
      <c r="M497" s="151">
        <v>45509</v>
      </c>
      <c r="N497" s="220">
        <v>45508.815972222219</v>
      </c>
      <c r="O497" s="220">
        <v>45508.815972222219</v>
      </c>
      <c r="P497" s="152">
        <v>45508.819444444445</v>
      </c>
      <c r="Q497" s="152">
        <v>45508.989583333336</v>
      </c>
      <c r="R497" s="220" t="s">
        <v>118</v>
      </c>
      <c r="S497" s="152">
        <v>45509.111111111109</v>
      </c>
      <c r="T497" s="152">
        <v>45509.125</v>
      </c>
      <c r="U497" s="152">
        <v>45509.213888888888</v>
      </c>
      <c r="V497" s="219">
        <f t="shared" si="284"/>
        <v>0.17361111111677019</v>
      </c>
      <c r="W497" s="165">
        <v>0.20833333333333334</v>
      </c>
      <c r="X497" s="219" t="str">
        <f t="shared" si="285"/>
        <v>00:00</v>
      </c>
      <c r="Y497" s="96">
        <v>0</v>
      </c>
      <c r="Z497" s="96">
        <v>59</v>
      </c>
      <c r="AA497" s="96">
        <f t="shared" si="278"/>
        <v>59</v>
      </c>
      <c r="AB497" s="97">
        <f t="shared" si="279"/>
        <v>0</v>
      </c>
      <c r="AC497" s="97">
        <f t="shared" si="280"/>
        <v>4017.86</v>
      </c>
      <c r="AD497" s="98">
        <v>4017.86</v>
      </c>
      <c r="AE497" s="98">
        <v>4048</v>
      </c>
      <c r="AF497" s="98">
        <v>4063.2</v>
      </c>
      <c r="AG497" s="98">
        <f t="shared" si="281"/>
        <v>45.339999999999691</v>
      </c>
      <c r="AH497" s="99">
        <v>1484</v>
      </c>
      <c r="AI497" s="100">
        <f t="shared" si="282"/>
        <v>6029788.7999999998</v>
      </c>
      <c r="AJ497" s="100">
        <f>(3.2*AH497)*2</f>
        <v>9497.6</v>
      </c>
      <c r="AK497" s="100">
        <v>0</v>
      </c>
      <c r="AL497" s="100">
        <v>0</v>
      </c>
      <c r="AM497" s="100">
        <v>0</v>
      </c>
      <c r="AN497" s="100">
        <v>0</v>
      </c>
      <c r="AO497" s="100">
        <v>0</v>
      </c>
      <c r="AP497" s="100">
        <f t="shared" si="294"/>
        <v>301965</v>
      </c>
      <c r="AQ497" s="101">
        <f t="shared" si="286"/>
        <v>6341252</v>
      </c>
      <c r="AR497" s="101">
        <v>0</v>
      </c>
      <c r="AS497" s="101">
        <v>0</v>
      </c>
      <c r="AT497" s="102" t="s">
        <v>34</v>
      </c>
      <c r="AU497" s="109" t="s">
        <v>118</v>
      </c>
      <c r="AV497" s="222">
        <v>0</v>
      </c>
      <c r="AW497" s="105">
        <v>0</v>
      </c>
      <c r="AX497" s="216">
        <f t="shared" si="287"/>
        <v>1.1158692656034577</v>
      </c>
      <c r="AY497" s="217">
        <f t="shared" si="288"/>
        <v>67285</v>
      </c>
      <c r="AZ497" s="107"/>
      <c r="BA497" s="94">
        <v>45508.815972222219</v>
      </c>
      <c r="BB497" s="94">
        <v>45508.819444444445</v>
      </c>
      <c r="BC497" s="94">
        <v>45508.904166666667</v>
      </c>
      <c r="BD497" s="94">
        <v>45509.1</v>
      </c>
      <c r="BE497" s="95">
        <f t="shared" si="289"/>
        <v>0.28402777777955635</v>
      </c>
      <c r="BF497" s="95">
        <v>5.6250000000000001E-2</v>
      </c>
      <c r="BG497" s="95">
        <v>0.1111111111111111</v>
      </c>
      <c r="BH497" s="95">
        <f t="shared" si="290"/>
        <v>3.4722222262644209E-3</v>
      </c>
      <c r="BI497" s="95">
        <f t="shared" si="290"/>
        <v>8.4722222221898846E-2</v>
      </c>
      <c r="BJ497" s="95">
        <f t="shared" si="290"/>
        <v>0.19583333333139308</v>
      </c>
      <c r="BK497" s="95">
        <f t="shared" si="291"/>
        <v>0.28055555555329192</v>
      </c>
      <c r="BL497" s="95">
        <f t="shared" si="292"/>
        <v>0.11319444444218082</v>
      </c>
      <c r="BM497" s="95">
        <f t="shared" si="293"/>
        <v>7.5694444446223003E-2</v>
      </c>
      <c r="BN497" s="110"/>
    </row>
    <row r="498" spans="1:66" s="8" customFormat="1" ht="12.75" customHeight="1" x14ac:dyDescent="0.25">
      <c r="A498" s="150">
        <v>446</v>
      </c>
      <c r="B498" s="150">
        <v>16</v>
      </c>
      <c r="C498" s="90">
        <v>3</v>
      </c>
      <c r="D498" s="111" t="s">
        <v>113</v>
      </c>
      <c r="E498" s="210" t="s">
        <v>681</v>
      </c>
      <c r="F498" s="150" t="s">
        <v>27</v>
      </c>
      <c r="G498" s="150" t="s">
        <v>12</v>
      </c>
      <c r="H498" s="150" t="s">
        <v>115</v>
      </c>
      <c r="I498" s="150" t="s">
        <v>682</v>
      </c>
      <c r="J498" s="151">
        <v>45509</v>
      </c>
      <c r="K498" s="135" t="s">
        <v>122</v>
      </c>
      <c r="L498" s="135">
        <v>282001000</v>
      </c>
      <c r="M498" s="151">
        <v>45509</v>
      </c>
      <c r="N498" s="220">
        <v>45509.090277777781</v>
      </c>
      <c r="O498" s="220">
        <v>45509.090277777781</v>
      </c>
      <c r="P498" s="152">
        <v>45509.09375</v>
      </c>
      <c r="Q498" s="152">
        <v>45509.291666666664</v>
      </c>
      <c r="R498" s="220" t="s">
        <v>118</v>
      </c>
      <c r="S498" s="152" t="s">
        <v>118</v>
      </c>
      <c r="T498" s="152">
        <v>45509.305555555555</v>
      </c>
      <c r="U498" s="152">
        <v>45509.392361111109</v>
      </c>
      <c r="V498" s="219">
        <f t="shared" si="284"/>
        <v>0.20138888888322981</v>
      </c>
      <c r="W498" s="165">
        <v>0.20833333333333334</v>
      </c>
      <c r="X498" s="219" t="str">
        <f t="shared" si="285"/>
        <v>00:00</v>
      </c>
      <c r="Y498" s="96">
        <v>0</v>
      </c>
      <c r="Z498" s="96">
        <v>58</v>
      </c>
      <c r="AA498" s="96">
        <f t="shared" si="278"/>
        <v>58</v>
      </c>
      <c r="AB498" s="97">
        <f t="shared" si="279"/>
        <v>0</v>
      </c>
      <c r="AC498" s="97">
        <f t="shared" si="280"/>
        <v>3926.9700000000003</v>
      </c>
      <c r="AD498" s="98">
        <v>3926.97</v>
      </c>
      <c r="AE498" s="98">
        <v>3975.2</v>
      </c>
      <c r="AF498" s="98">
        <v>3982.4</v>
      </c>
      <c r="AG498" s="98">
        <f t="shared" si="281"/>
        <v>55.430000000000291</v>
      </c>
      <c r="AH498" s="99">
        <v>1586.7</v>
      </c>
      <c r="AI498" s="100">
        <f t="shared" si="282"/>
        <v>6318874.0800000001</v>
      </c>
      <c r="AJ498" s="100">
        <f>(0.6*AH498)*2</f>
        <v>1904.04</v>
      </c>
      <c r="AK498" s="100">
        <v>0</v>
      </c>
      <c r="AL498" s="100">
        <v>0</v>
      </c>
      <c r="AM498" s="100">
        <v>0</v>
      </c>
      <c r="AN498" s="100">
        <v>0</v>
      </c>
      <c r="AO498" s="100">
        <f>IFERROR(AF498*20+(((AJ498/AH498)/2)*20),0)</f>
        <v>79660</v>
      </c>
      <c r="AP498" s="100">
        <f t="shared" si="294"/>
        <v>320022</v>
      </c>
      <c r="AQ498" s="101">
        <f t="shared" si="286"/>
        <v>6720461</v>
      </c>
      <c r="AR498" s="101">
        <v>0</v>
      </c>
      <c r="AS498" s="101">
        <v>0</v>
      </c>
      <c r="AT498" s="102" t="s">
        <v>34</v>
      </c>
      <c r="AU498" s="109" t="s">
        <v>118</v>
      </c>
      <c r="AV498" s="222">
        <v>0</v>
      </c>
      <c r="AW498" s="105">
        <v>0</v>
      </c>
      <c r="AX498" s="216">
        <f t="shared" si="287"/>
        <v>1.391874246685423</v>
      </c>
      <c r="AY498" s="217">
        <f t="shared" si="288"/>
        <v>87951</v>
      </c>
      <c r="AZ498" s="107"/>
      <c r="BA498" s="94">
        <v>45509.090277777781</v>
      </c>
      <c r="BB498" s="94">
        <v>45509.09375</v>
      </c>
      <c r="BC498" s="94">
        <v>45509.129861111112</v>
      </c>
      <c r="BD498" s="94">
        <v>45509.252083333333</v>
      </c>
      <c r="BE498" s="95">
        <f t="shared" si="289"/>
        <v>0.16180555555183673</v>
      </c>
      <c r="BF498" s="95">
        <v>6.2500000000000003E-3</v>
      </c>
      <c r="BG498" s="95">
        <v>2.9861111111111113E-2</v>
      </c>
      <c r="BH498" s="95">
        <f t="shared" si="290"/>
        <v>3.4722222189884633E-3</v>
      </c>
      <c r="BI498" s="95">
        <f t="shared" si="290"/>
        <v>3.6111111112404615E-2</v>
      </c>
      <c r="BJ498" s="95">
        <f t="shared" si="290"/>
        <v>0.12222222222044365</v>
      </c>
      <c r="BK498" s="95">
        <f t="shared" si="291"/>
        <v>0.15833333333284827</v>
      </c>
      <c r="BL498" s="95">
        <f t="shared" si="292"/>
        <v>0.12222222222173715</v>
      </c>
      <c r="BM498" s="95" t="str">
        <f t="shared" si="293"/>
        <v>00:00</v>
      </c>
      <c r="BN498" s="110"/>
    </row>
    <row r="499" spans="1:66" s="8" customFormat="1" ht="12.75" customHeight="1" x14ac:dyDescent="0.25">
      <c r="A499" s="150">
        <v>447</v>
      </c>
      <c r="B499" s="150">
        <v>17</v>
      </c>
      <c r="C499" s="90">
        <v>8</v>
      </c>
      <c r="D499" s="111" t="s">
        <v>113</v>
      </c>
      <c r="E499" s="210" t="s">
        <v>596</v>
      </c>
      <c r="F499" s="150" t="s">
        <v>32</v>
      </c>
      <c r="G499" s="150" t="s">
        <v>15</v>
      </c>
      <c r="H499" s="150" t="s">
        <v>146</v>
      </c>
      <c r="I499" s="150" t="s">
        <v>683</v>
      </c>
      <c r="J499" s="151">
        <v>45509</v>
      </c>
      <c r="K499" s="135" t="s">
        <v>117</v>
      </c>
      <c r="L499" s="135">
        <v>261005886</v>
      </c>
      <c r="M499" s="151">
        <v>45509</v>
      </c>
      <c r="N499" s="220">
        <v>45509.25</v>
      </c>
      <c r="O499" s="220">
        <v>45509.25</v>
      </c>
      <c r="P499" s="152">
        <v>45509.253472222219</v>
      </c>
      <c r="Q499" s="152">
        <v>45509.458333333336</v>
      </c>
      <c r="R499" s="220" t="s">
        <v>118</v>
      </c>
      <c r="S499" s="152" t="s">
        <v>118</v>
      </c>
      <c r="T499" s="152">
        <v>45509.541666666664</v>
      </c>
      <c r="U499" s="152">
        <v>45509.627083333333</v>
      </c>
      <c r="V499" s="219">
        <f t="shared" si="284"/>
        <v>0.20833333333575865</v>
      </c>
      <c r="W499" s="165">
        <v>0.20833333333333334</v>
      </c>
      <c r="X499" s="219">
        <f t="shared" si="285"/>
        <v>2.4253099528692701E-12</v>
      </c>
      <c r="Y499" s="96">
        <v>0</v>
      </c>
      <c r="Z499" s="96">
        <v>58</v>
      </c>
      <c r="AA499" s="96">
        <f t="shared" si="278"/>
        <v>58</v>
      </c>
      <c r="AB499" s="97">
        <f t="shared" si="279"/>
        <v>0</v>
      </c>
      <c r="AC499" s="97">
        <f t="shared" si="280"/>
        <v>3953.86</v>
      </c>
      <c r="AD499" s="98">
        <v>3953.86</v>
      </c>
      <c r="AE499" s="98">
        <v>3994.9</v>
      </c>
      <c r="AF499" s="98">
        <v>4000</v>
      </c>
      <c r="AG499" s="98">
        <f t="shared" si="281"/>
        <v>46.139999999999873</v>
      </c>
      <c r="AH499" s="99">
        <v>1398.7</v>
      </c>
      <c r="AI499" s="100">
        <f t="shared" si="282"/>
        <v>5594800</v>
      </c>
      <c r="AJ499" s="100">
        <f>(0*AH499)*2</f>
        <v>0</v>
      </c>
      <c r="AK499" s="100">
        <v>0</v>
      </c>
      <c r="AL499" s="100">
        <v>0</v>
      </c>
      <c r="AM499" s="100">
        <v>0</v>
      </c>
      <c r="AN499" s="100">
        <v>0</v>
      </c>
      <c r="AO499" s="100">
        <v>0</v>
      </c>
      <c r="AP499" s="100">
        <f t="shared" si="294"/>
        <v>279740</v>
      </c>
      <c r="AQ499" s="101">
        <f t="shared" si="286"/>
        <v>5874540</v>
      </c>
      <c r="AR499" s="101">
        <v>0</v>
      </c>
      <c r="AS499" s="101">
        <v>0</v>
      </c>
      <c r="AT499" s="102" t="s">
        <v>34</v>
      </c>
      <c r="AU499" s="109" t="s">
        <v>118</v>
      </c>
      <c r="AV499" s="222">
        <v>0</v>
      </c>
      <c r="AW499" s="105">
        <v>0</v>
      </c>
      <c r="AX499" s="216">
        <f t="shared" si="287"/>
        <v>1.1534999999999969</v>
      </c>
      <c r="AY499" s="217">
        <f t="shared" si="288"/>
        <v>64537</v>
      </c>
      <c r="AZ499" s="107"/>
      <c r="BA499" s="94">
        <v>45509.25</v>
      </c>
      <c r="BB499" s="94">
        <v>45509.253472222219</v>
      </c>
      <c r="BC499" s="94">
        <v>45509.340277777781</v>
      </c>
      <c r="BD499" s="94">
        <v>45509.532638888886</v>
      </c>
      <c r="BE499" s="95">
        <f t="shared" si="289"/>
        <v>0.28263888888614019</v>
      </c>
      <c r="BF499" s="95">
        <v>7.4999999999999997E-2</v>
      </c>
      <c r="BG499" s="95">
        <v>6.5972222222222224E-2</v>
      </c>
      <c r="BH499" s="95">
        <f t="shared" si="290"/>
        <v>3.4722222189884633E-3</v>
      </c>
      <c r="BI499" s="95">
        <f t="shared" si="290"/>
        <v>8.6805555562023073E-2</v>
      </c>
      <c r="BJ499" s="95">
        <f t="shared" si="290"/>
        <v>0.19236111110512866</v>
      </c>
      <c r="BK499" s="95">
        <f t="shared" si="291"/>
        <v>0.27916666666715173</v>
      </c>
      <c r="BL499" s="95">
        <f t="shared" si="292"/>
        <v>0.13819444444492951</v>
      </c>
      <c r="BM499" s="95">
        <f t="shared" si="293"/>
        <v>7.4305555552806851E-2</v>
      </c>
      <c r="BN499" s="110"/>
    </row>
    <row r="500" spans="1:66" s="8" customFormat="1" ht="12.75" customHeight="1" x14ac:dyDescent="0.25">
      <c r="A500" s="150">
        <v>448</v>
      </c>
      <c r="B500" s="150">
        <v>18</v>
      </c>
      <c r="C500" s="90">
        <v>13</v>
      </c>
      <c r="D500" s="111" t="s">
        <v>148</v>
      </c>
      <c r="E500" s="210" t="s">
        <v>655</v>
      </c>
      <c r="F500" s="150" t="s">
        <v>19</v>
      </c>
      <c r="G500" s="150" t="s">
        <v>17</v>
      </c>
      <c r="H500" s="150" t="s">
        <v>150</v>
      </c>
      <c r="I500" s="150" t="s">
        <v>684</v>
      </c>
      <c r="J500" s="151">
        <v>45508</v>
      </c>
      <c r="K500" s="135" t="s">
        <v>122</v>
      </c>
      <c r="L500" s="135">
        <v>461000407</v>
      </c>
      <c r="M500" s="151">
        <v>45509</v>
      </c>
      <c r="N500" s="220">
        <v>45509.479166666664</v>
      </c>
      <c r="O500" s="220">
        <v>45509.479166666664</v>
      </c>
      <c r="P500" s="152">
        <v>45509.482638888891</v>
      </c>
      <c r="Q500" s="152">
        <v>45509.6875</v>
      </c>
      <c r="R500" s="220" t="s">
        <v>118</v>
      </c>
      <c r="S500" s="152">
        <v>45509.75</v>
      </c>
      <c r="T500" s="152">
        <v>45509.760416666664</v>
      </c>
      <c r="U500" s="152">
        <v>45509.847916666666</v>
      </c>
      <c r="V500" s="219">
        <f t="shared" si="284"/>
        <v>0.20833333333575865</v>
      </c>
      <c r="W500" s="165">
        <v>0.20833333333333334</v>
      </c>
      <c r="X500" s="219">
        <f t="shared" si="285"/>
        <v>2.4253099528692701E-12</v>
      </c>
      <c r="Y500" s="96">
        <v>0</v>
      </c>
      <c r="Z500" s="96">
        <v>59</v>
      </c>
      <c r="AA500" s="96">
        <f t="shared" si="278"/>
        <v>59</v>
      </c>
      <c r="AB500" s="97">
        <f t="shared" si="279"/>
        <v>0</v>
      </c>
      <c r="AC500" s="97">
        <f t="shared" si="280"/>
        <v>4035.0999999999995</v>
      </c>
      <c r="AD500" s="98">
        <v>4035.1</v>
      </c>
      <c r="AE500" s="98">
        <v>4042.7</v>
      </c>
      <c r="AF500" s="98">
        <v>4059</v>
      </c>
      <c r="AG500" s="98">
        <f t="shared" si="281"/>
        <v>23.900000000000091</v>
      </c>
      <c r="AH500" s="99">
        <v>672.5</v>
      </c>
      <c r="AI500" s="100">
        <f t="shared" si="282"/>
        <v>2729677.5</v>
      </c>
      <c r="AJ500" s="100">
        <f>(3.4*AH500)*2</f>
        <v>4573</v>
      </c>
      <c r="AK500" s="100">
        <v>0</v>
      </c>
      <c r="AL500" s="100">
        <v>0</v>
      </c>
      <c r="AM500" s="100">
        <v>0</v>
      </c>
      <c r="AN500" s="100">
        <v>0</v>
      </c>
      <c r="AO500" s="100">
        <v>0</v>
      </c>
      <c r="AP500" s="100">
        <f t="shared" si="294"/>
        <v>136713</v>
      </c>
      <c r="AQ500" s="101">
        <f t="shared" si="286"/>
        <v>2870964</v>
      </c>
      <c r="AR500" s="101">
        <v>0</v>
      </c>
      <c r="AS500" s="101">
        <v>0</v>
      </c>
      <c r="AT500" s="102" t="s">
        <v>33</v>
      </c>
      <c r="AU500" s="109" t="s">
        <v>118</v>
      </c>
      <c r="AV500" s="222">
        <v>0</v>
      </c>
      <c r="AW500" s="105">
        <v>2</v>
      </c>
      <c r="AX500" s="216">
        <f t="shared" si="287"/>
        <v>0.58881497905888369</v>
      </c>
      <c r="AY500" s="217">
        <f t="shared" si="288"/>
        <v>16073</v>
      </c>
      <c r="AZ500" s="107"/>
      <c r="BA500" s="94">
        <v>45509.479166666664</v>
      </c>
      <c r="BB500" s="94">
        <v>45509.482638888891</v>
      </c>
      <c r="BC500" s="94">
        <v>45509.552777777775</v>
      </c>
      <c r="BD500" s="94">
        <v>45509.745138888888</v>
      </c>
      <c r="BE500" s="95">
        <f t="shared" si="289"/>
        <v>0.26597222222335404</v>
      </c>
      <c r="BF500" s="95">
        <v>2.1527777777777778E-2</v>
      </c>
      <c r="BG500" s="95">
        <v>6.5972222222222224E-2</v>
      </c>
      <c r="BH500" s="95">
        <f t="shared" si="290"/>
        <v>3.4722222262644209E-3</v>
      </c>
      <c r="BI500" s="95">
        <f t="shared" si="290"/>
        <v>7.0138888884685002E-2</v>
      </c>
      <c r="BJ500" s="95">
        <f t="shared" si="290"/>
        <v>0.19236111111240461</v>
      </c>
      <c r="BK500" s="95">
        <f t="shared" si="291"/>
        <v>0.26249999999708962</v>
      </c>
      <c r="BL500" s="95">
        <f t="shared" si="292"/>
        <v>0.17499999999708959</v>
      </c>
      <c r="BM500" s="95">
        <f t="shared" si="293"/>
        <v>5.7638888890020695E-2</v>
      </c>
      <c r="BN500" s="110"/>
    </row>
    <row r="501" spans="1:66" s="8" customFormat="1" ht="12.75" customHeight="1" x14ac:dyDescent="0.25">
      <c r="A501" s="150">
        <v>449</v>
      </c>
      <c r="B501" s="150">
        <v>19</v>
      </c>
      <c r="C501" s="90">
        <v>14</v>
      </c>
      <c r="D501" s="111" t="s">
        <v>148</v>
      </c>
      <c r="E501" s="210" t="s">
        <v>655</v>
      </c>
      <c r="F501" s="150" t="s">
        <v>19</v>
      </c>
      <c r="G501" s="150" t="s">
        <v>17</v>
      </c>
      <c r="H501" s="150" t="s">
        <v>150</v>
      </c>
      <c r="I501" s="150" t="s">
        <v>685</v>
      </c>
      <c r="J501" s="151">
        <v>45508</v>
      </c>
      <c r="K501" s="135" t="s">
        <v>117</v>
      </c>
      <c r="L501" s="135">
        <v>461000408</v>
      </c>
      <c r="M501" s="151">
        <v>45510</v>
      </c>
      <c r="N501" s="220">
        <v>45509.6875</v>
      </c>
      <c r="O501" s="220">
        <v>45509.6875</v>
      </c>
      <c r="P501" s="152">
        <v>45509.690972222219</v>
      </c>
      <c r="Q501" s="152">
        <v>45509.895833333336</v>
      </c>
      <c r="R501" s="220" t="s">
        <v>118</v>
      </c>
      <c r="S501" s="152">
        <v>45509.96875</v>
      </c>
      <c r="T501" s="152">
        <v>45510.084722222222</v>
      </c>
      <c r="U501" s="152">
        <v>45510.15625</v>
      </c>
      <c r="V501" s="219">
        <f t="shared" si="284"/>
        <v>0.20833333333575865</v>
      </c>
      <c r="W501" s="165">
        <v>0.20833333333333334</v>
      </c>
      <c r="X501" s="219">
        <f t="shared" si="285"/>
        <v>2.4253099528692701E-12</v>
      </c>
      <c r="Y501" s="96">
        <v>9</v>
      </c>
      <c r="Z501" s="96">
        <v>50</v>
      </c>
      <c r="AA501" s="96">
        <f t="shared" si="278"/>
        <v>59</v>
      </c>
      <c r="AB501" s="97">
        <f t="shared" si="279"/>
        <v>625.4862711864406</v>
      </c>
      <c r="AC501" s="97">
        <f t="shared" si="280"/>
        <v>3474.9237288135591</v>
      </c>
      <c r="AD501" s="98">
        <v>4100.41</v>
      </c>
      <c r="AE501" s="98">
        <v>4065</v>
      </c>
      <c r="AF501" s="98">
        <v>4114.2</v>
      </c>
      <c r="AG501" s="98">
        <f t="shared" si="281"/>
        <v>13.789999999999964</v>
      </c>
      <c r="AH501" s="99">
        <v>672.5</v>
      </c>
      <c r="AI501" s="100">
        <f t="shared" si="282"/>
        <v>2766799.5</v>
      </c>
      <c r="AJ501" s="100">
        <f>(0*AH501)*2</f>
        <v>0</v>
      </c>
      <c r="AK501" s="100">
        <v>0</v>
      </c>
      <c r="AL501" s="100">
        <v>48580</v>
      </c>
      <c r="AM501" s="100">
        <v>0</v>
      </c>
      <c r="AN501" s="100">
        <v>0</v>
      </c>
      <c r="AO501" s="100">
        <v>0</v>
      </c>
      <c r="AP501" s="100">
        <f t="shared" si="294"/>
        <v>140769</v>
      </c>
      <c r="AQ501" s="101">
        <f t="shared" si="286"/>
        <v>2956149</v>
      </c>
      <c r="AR501" s="101">
        <v>0</v>
      </c>
      <c r="AS501" s="101">
        <v>0</v>
      </c>
      <c r="AT501" s="102" t="s">
        <v>686</v>
      </c>
      <c r="AU501" s="109">
        <v>42</v>
      </c>
      <c r="AV501" s="222">
        <f>108.01-40.01</f>
        <v>68</v>
      </c>
      <c r="AW501" s="105">
        <v>2</v>
      </c>
      <c r="AX501" s="216">
        <f t="shared" si="287"/>
        <v>0.33518059404015271</v>
      </c>
      <c r="AY501" s="217">
        <f t="shared" si="288"/>
        <v>9274</v>
      </c>
      <c r="AZ501" s="107"/>
      <c r="BA501" s="94">
        <v>45509.6875</v>
      </c>
      <c r="BB501" s="94">
        <v>45509.690972222219</v>
      </c>
      <c r="BC501" s="94">
        <v>45509.763194444444</v>
      </c>
      <c r="BD501" s="94">
        <v>45509.963194444441</v>
      </c>
      <c r="BE501" s="95">
        <f t="shared" si="289"/>
        <v>0.27569444444088731</v>
      </c>
      <c r="BF501" s="95">
        <v>4.6527777777777779E-2</v>
      </c>
      <c r="BG501" s="95">
        <v>6.1111111111111109E-2</v>
      </c>
      <c r="BH501" s="95">
        <f t="shared" si="290"/>
        <v>3.4722222189884633E-3</v>
      </c>
      <c r="BI501" s="95">
        <f t="shared" si="290"/>
        <v>7.2222222224809229E-2</v>
      </c>
      <c r="BJ501" s="95">
        <f t="shared" si="290"/>
        <v>0.19999999999708962</v>
      </c>
      <c r="BK501" s="95">
        <f t="shared" si="291"/>
        <v>0.27222222222189885</v>
      </c>
      <c r="BL501" s="95">
        <f t="shared" si="292"/>
        <v>0.16458333333300995</v>
      </c>
      <c r="BM501" s="95">
        <f t="shared" si="293"/>
        <v>6.7361111107553967E-2</v>
      </c>
      <c r="BN501" s="110"/>
    </row>
    <row r="502" spans="1:66" s="8" customFormat="1" ht="12.75" customHeight="1" x14ac:dyDescent="0.25">
      <c r="A502" s="150">
        <v>450</v>
      </c>
      <c r="B502" s="150">
        <v>20</v>
      </c>
      <c r="C502" s="90">
        <v>15</v>
      </c>
      <c r="D502" s="111" t="s">
        <v>148</v>
      </c>
      <c r="E502" s="210" t="s">
        <v>655</v>
      </c>
      <c r="F502" s="150" t="s">
        <v>19</v>
      </c>
      <c r="G502" s="150" t="s">
        <v>17</v>
      </c>
      <c r="H502" s="150" t="s">
        <v>150</v>
      </c>
      <c r="I502" s="150" t="s">
        <v>687</v>
      </c>
      <c r="J502" s="151">
        <v>45509</v>
      </c>
      <c r="K502" s="135" t="s">
        <v>122</v>
      </c>
      <c r="L502" s="135">
        <v>461000409</v>
      </c>
      <c r="M502" s="151">
        <v>45510</v>
      </c>
      <c r="N502" s="220">
        <v>45509.989583333336</v>
      </c>
      <c r="O502" s="220">
        <v>45509.989583333336</v>
      </c>
      <c r="P502" s="152">
        <v>45509.993055555555</v>
      </c>
      <c r="Q502" s="152">
        <v>45510.197916666664</v>
      </c>
      <c r="R502" s="220" t="s">
        <v>118</v>
      </c>
      <c r="S502" s="152" t="s">
        <v>118</v>
      </c>
      <c r="T502" s="152">
        <v>45510.229166666664</v>
      </c>
      <c r="U502" s="152">
        <v>45510.368055555555</v>
      </c>
      <c r="V502" s="219">
        <f t="shared" si="284"/>
        <v>0.20833333332848269</v>
      </c>
      <c r="W502" s="165">
        <v>0.20833333333333334</v>
      </c>
      <c r="X502" s="219" t="str">
        <f t="shared" si="285"/>
        <v>00:00</v>
      </c>
      <c r="Y502" s="96">
        <v>0</v>
      </c>
      <c r="Z502" s="96">
        <v>59</v>
      </c>
      <c r="AA502" s="96">
        <f t="shared" si="278"/>
        <v>59</v>
      </c>
      <c r="AB502" s="97">
        <f t="shared" si="279"/>
        <v>0</v>
      </c>
      <c r="AC502" s="97">
        <f t="shared" si="280"/>
        <v>4033.13</v>
      </c>
      <c r="AD502" s="98">
        <v>4033.13</v>
      </c>
      <c r="AE502" s="98">
        <v>4027.8</v>
      </c>
      <c r="AF502" s="98">
        <v>4056.2</v>
      </c>
      <c r="AG502" s="98">
        <f t="shared" si="281"/>
        <v>23.069999999999709</v>
      </c>
      <c r="AH502" s="99">
        <v>672.5</v>
      </c>
      <c r="AI502" s="100">
        <f t="shared" si="282"/>
        <v>2727794.5</v>
      </c>
      <c r="AJ502" s="100">
        <f>(0*AH502)*2</f>
        <v>0</v>
      </c>
      <c r="AK502" s="100">
        <v>0</v>
      </c>
      <c r="AL502" s="100">
        <v>24290</v>
      </c>
      <c r="AM502" s="100">
        <v>0</v>
      </c>
      <c r="AN502" s="100">
        <v>0</v>
      </c>
      <c r="AO502" s="100">
        <v>0</v>
      </c>
      <c r="AP502" s="100">
        <f t="shared" si="294"/>
        <v>137605</v>
      </c>
      <c r="AQ502" s="101">
        <f t="shared" si="286"/>
        <v>2889690</v>
      </c>
      <c r="AR502" s="101">
        <v>0</v>
      </c>
      <c r="AS502" s="101">
        <v>0</v>
      </c>
      <c r="AT502" s="102" t="s">
        <v>34</v>
      </c>
      <c r="AU502" s="109">
        <v>16</v>
      </c>
      <c r="AV502" s="222">
        <f>48.72-24.72</f>
        <v>24</v>
      </c>
      <c r="AW502" s="105">
        <v>0</v>
      </c>
      <c r="AX502" s="216">
        <f t="shared" si="287"/>
        <v>0.5687589369360414</v>
      </c>
      <c r="AY502" s="217">
        <f t="shared" si="288"/>
        <v>15515</v>
      </c>
      <c r="AZ502" s="107"/>
      <c r="BA502" s="94">
        <v>45509.989583333336</v>
      </c>
      <c r="BB502" s="94">
        <v>45509.993055555555</v>
      </c>
      <c r="BC502" s="94">
        <v>45510.010416666664</v>
      </c>
      <c r="BD502" s="94">
        <v>45510.208333333336</v>
      </c>
      <c r="BE502" s="95">
        <f t="shared" si="289"/>
        <v>0.21875</v>
      </c>
      <c r="BF502" s="95">
        <v>5.2777777777777778E-2</v>
      </c>
      <c r="BG502" s="95">
        <v>1.7361111111111112E-2</v>
      </c>
      <c r="BH502" s="95">
        <f t="shared" si="290"/>
        <v>3.4722222189884633E-3</v>
      </c>
      <c r="BI502" s="95">
        <f t="shared" si="290"/>
        <v>1.7361111109494232E-2</v>
      </c>
      <c r="BJ502" s="95">
        <f t="shared" si="290"/>
        <v>0.19791666667151731</v>
      </c>
      <c r="BK502" s="95">
        <f t="shared" si="291"/>
        <v>0.21527777778101154</v>
      </c>
      <c r="BL502" s="95">
        <f t="shared" si="292"/>
        <v>0.14513888889212265</v>
      </c>
      <c r="BM502" s="95">
        <f t="shared" si="293"/>
        <v>1.0416666666666657E-2</v>
      </c>
      <c r="BN502" s="110"/>
    </row>
    <row r="503" spans="1:66" s="8" customFormat="1" ht="12.75" customHeight="1" x14ac:dyDescent="0.25">
      <c r="A503" s="150">
        <v>451</v>
      </c>
      <c r="B503" s="150">
        <v>21</v>
      </c>
      <c r="C503" s="90">
        <v>12</v>
      </c>
      <c r="D503" s="111" t="s">
        <v>113</v>
      </c>
      <c r="E503" s="210" t="s">
        <v>530</v>
      </c>
      <c r="F503" s="150" t="s">
        <v>29</v>
      </c>
      <c r="G503" s="150" t="s">
        <v>15</v>
      </c>
      <c r="H503" s="150" t="s">
        <v>124</v>
      </c>
      <c r="I503" s="150" t="s">
        <v>688</v>
      </c>
      <c r="J503" s="151">
        <v>45509</v>
      </c>
      <c r="K503" s="135" t="s">
        <v>117</v>
      </c>
      <c r="L503" s="135">
        <v>261005887</v>
      </c>
      <c r="M503" s="151">
        <v>45510</v>
      </c>
      <c r="N503" s="220">
        <v>45510.197916666664</v>
      </c>
      <c r="O503" s="220">
        <v>45510.1875</v>
      </c>
      <c r="P503" s="152">
        <v>45510.201388888891</v>
      </c>
      <c r="Q503" s="152">
        <v>45510.395833333336</v>
      </c>
      <c r="R503" s="220">
        <v>45510.197916666664</v>
      </c>
      <c r="S503" s="152">
        <v>45510.479166666664</v>
      </c>
      <c r="T503" s="152">
        <v>45510.472222222219</v>
      </c>
      <c r="U503" s="152">
        <v>45510.604166666664</v>
      </c>
      <c r="V503" s="219">
        <f t="shared" si="284"/>
        <v>0.20833333333575865</v>
      </c>
      <c r="W503" s="165">
        <v>0.20833333333333334</v>
      </c>
      <c r="X503" s="219">
        <f t="shared" si="285"/>
        <v>2.4253099528692701E-12</v>
      </c>
      <c r="Y503" s="96">
        <v>0</v>
      </c>
      <c r="Z503" s="96">
        <v>56</v>
      </c>
      <c r="AA503" s="96">
        <f t="shared" si="278"/>
        <v>56</v>
      </c>
      <c r="AB503" s="97">
        <f t="shared" si="279"/>
        <v>0</v>
      </c>
      <c r="AC503" s="97">
        <f t="shared" si="280"/>
        <v>3789.8100000000004</v>
      </c>
      <c r="AD503" s="98">
        <v>3789.81</v>
      </c>
      <c r="AE503" s="98">
        <v>3834.4</v>
      </c>
      <c r="AF503" s="98">
        <v>3850.2</v>
      </c>
      <c r="AG503" s="98">
        <f t="shared" si="281"/>
        <v>60.389999999999873</v>
      </c>
      <c r="AH503" s="99">
        <v>797.2</v>
      </c>
      <c r="AI503" s="100">
        <f t="shared" si="282"/>
        <v>3069379.44</v>
      </c>
      <c r="AJ503" s="100">
        <f>(0*AH503)*2</f>
        <v>0</v>
      </c>
      <c r="AK503" s="100">
        <v>0</v>
      </c>
      <c r="AL503" s="100">
        <v>23840</v>
      </c>
      <c r="AM503" s="100">
        <v>0</v>
      </c>
      <c r="AN503" s="100">
        <v>0</v>
      </c>
      <c r="AO503" s="100">
        <v>0</v>
      </c>
      <c r="AP503" s="100">
        <f t="shared" si="294"/>
        <v>154661</v>
      </c>
      <c r="AQ503" s="101">
        <f t="shared" si="286"/>
        <v>3247881</v>
      </c>
      <c r="AR503" s="101">
        <v>0</v>
      </c>
      <c r="AS503" s="101">
        <v>0</v>
      </c>
      <c r="AT503" s="102" t="s">
        <v>34</v>
      </c>
      <c r="AU503" s="109">
        <v>7</v>
      </c>
      <c r="AV503" s="222">
        <f>19.47-13.97</f>
        <v>5.4999999999999982</v>
      </c>
      <c r="AW503" s="105">
        <v>2</v>
      </c>
      <c r="AX503" s="216">
        <f t="shared" si="287"/>
        <v>1.5684899485740966</v>
      </c>
      <c r="AY503" s="217">
        <f t="shared" si="288"/>
        <v>48143</v>
      </c>
      <c r="AZ503" s="107"/>
      <c r="BA503" s="94">
        <v>45510.197916666664</v>
      </c>
      <c r="BB503" s="94">
        <v>45510.201388888891</v>
      </c>
      <c r="BC503" s="94">
        <v>45510.267361111109</v>
      </c>
      <c r="BD503" s="94">
        <v>45510.455555555556</v>
      </c>
      <c r="BE503" s="95">
        <f t="shared" si="289"/>
        <v>0.25763888889196096</v>
      </c>
      <c r="BF503" s="95">
        <v>3.0555555555555555E-2</v>
      </c>
      <c r="BG503" s="95">
        <v>9.4444444444444442E-2</v>
      </c>
      <c r="BH503" s="95">
        <f t="shared" si="290"/>
        <v>3.4722222262644209E-3</v>
      </c>
      <c r="BI503" s="95">
        <f t="shared" si="290"/>
        <v>6.5972222218988463E-2</v>
      </c>
      <c r="BJ503" s="95">
        <f t="shared" si="290"/>
        <v>0.18819444444670808</v>
      </c>
      <c r="BK503" s="95">
        <f t="shared" si="291"/>
        <v>0.25416666666569654</v>
      </c>
      <c r="BL503" s="95">
        <f t="shared" si="292"/>
        <v>0.12916666666569654</v>
      </c>
      <c r="BM503" s="95">
        <f t="shared" si="293"/>
        <v>4.9305555558627617E-2</v>
      </c>
      <c r="BN503" s="110"/>
    </row>
    <row r="504" spans="1:66" s="8" customFormat="1" ht="12.75" customHeight="1" x14ac:dyDescent="0.25">
      <c r="A504" s="150">
        <v>452</v>
      </c>
      <c r="B504" s="150">
        <v>22</v>
      </c>
      <c r="C504" s="90">
        <v>16</v>
      </c>
      <c r="D504" s="111" t="s">
        <v>148</v>
      </c>
      <c r="E504" s="210" t="s">
        <v>655</v>
      </c>
      <c r="F504" s="150" t="s">
        <v>19</v>
      </c>
      <c r="G504" s="150" t="s">
        <v>17</v>
      </c>
      <c r="H504" s="150" t="s">
        <v>150</v>
      </c>
      <c r="I504" s="150" t="s">
        <v>689</v>
      </c>
      <c r="J504" s="151">
        <v>45509</v>
      </c>
      <c r="K504" s="135" t="s">
        <v>117</v>
      </c>
      <c r="L504" s="135">
        <v>461000410</v>
      </c>
      <c r="M504" s="151">
        <v>45511</v>
      </c>
      <c r="N504" s="220">
        <v>45510.677083333336</v>
      </c>
      <c r="O504" s="220">
        <v>45510.645833333336</v>
      </c>
      <c r="P504" s="152">
        <v>45510.684027777781</v>
      </c>
      <c r="Q504" s="152">
        <v>45510.854166666664</v>
      </c>
      <c r="R504" s="220">
        <v>45510.677083333336</v>
      </c>
      <c r="S504" s="152" t="s">
        <v>118</v>
      </c>
      <c r="T504" s="152">
        <v>45510.979166666664</v>
      </c>
      <c r="U504" s="152">
        <v>45511.061111111114</v>
      </c>
      <c r="V504" s="219">
        <f t="shared" si="284"/>
        <v>0.20833333332848269</v>
      </c>
      <c r="W504" s="165">
        <v>0.20833333333333334</v>
      </c>
      <c r="X504" s="219" t="str">
        <f t="shared" si="285"/>
        <v>00:00</v>
      </c>
      <c r="Y504" s="96">
        <v>15</v>
      </c>
      <c r="Z504" s="96">
        <v>43</v>
      </c>
      <c r="AA504" s="96">
        <f t="shared" si="278"/>
        <v>58</v>
      </c>
      <c r="AB504" s="97">
        <f t="shared" si="279"/>
        <v>1026.2172413793105</v>
      </c>
      <c r="AC504" s="97">
        <f t="shared" si="280"/>
        <v>2941.8227586206899</v>
      </c>
      <c r="AD504" s="98">
        <v>3968.04</v>
      </c>
      <c r="AE504" s="98">
        <v>3983.8</v>
      </c>
      <c r="AF504" s="98">
        <v>4000.6</v>
      </c>
      <c r="AG504" s="98">
        <f t="shared" si="281"/>
        <v>32.559999999999945</v>
      </c>
      <c r="AH504" s="99">
        <v>672.5</v>
      </c>
      <c r="AI504" s="100">
        <f t="shared" si="282"/>
        <v>2690403.5</v>
      </c>
      <c r="AJ504" s="100">
        <f>(2*AH504)*2</f>
        <v>2690</v>
      </c>
      <c r="AK504" s="100">
        <v>0</v>
      </c>
      <c r="AL504" s="100">
        <v>0</v>
      </c>
      <c r="AM504" s="100">
        <v>0</v>
      </c>
      <c r="AN504" s="100">
        <v>0</v>
      </c>
      <c r="AO504" s="100">
        <v>0</v>
      </c>
      <c r="AP504" s="100">
        <f t="shared" si="294"/>
        <v>134655</v>
      </c>
      <c r="AQ504" s="101">
        <f t="shared" si="286"/>
        <v>2827749</v>
      </c>
      <c r="AR504" s="101">
        <v>0</v>
      </c>
      <c r="AS504" s="101">
        <v>0</v>
      </c>
      <c r="AT504" s="102" t="s">
        <v>34</v>
      </c>
      <c r="AU504" s="109" t="s">
        <v>118</v>
      </c>
      <c r="AV504" s="222">
        <v>0</v>
      </c>
      <c r="AW504" s="105">
        <v>0</v>
      </c>
      <c r="AX504" s="216">
        <f t="shared" si="287"/>
        <v>0.81387791831225176</v>
      </c>
      <c r="AY504" s="217">
        <f t="shared" si="288"/>
        <v>21897</v>
      </c>
      <c r="AZ504" s="107"/>
      <c r="BA504" s="94">
        <v>45510.677083333336</v>
      </c>
      <c r="BB504" s="94">
        <v>45510.684027777781</v>
      </c>
      <c r="BC504" s="94">
        <v>45510.773611111108</v>
      </c>
      <c r="BD504" s="94">
        <v>45510.872916666667</v>
      </c>
      <c r="BE504" s="95">
        <f t="shared" si="289"/>
        <v>0.19583333333139308</v>
      </c>
      <c r="BF504" s="95">
        <v>2.5694444444444443E-2</v>
      </c>
      <c r="BG504" s="95">
        <v>5.9027777777777776E-2</v>
      </c>
      <c r="BH504" s="95">
        <f t="shared" si="290"/>
        <v>6.9444444452528842E-3</v>
      </c>
      <c r="BI504" s="95">
        <f t="shared" si="290"/>
        <v>8.9583333327027503E-2</v>
      </c>
      <c r="BJ504" s="95">
        <f t="shared" si="290"/>
        <v>9.930555555911269E-2</v>
      </c>
      <c r="BK504" s="95">
        <f t="shared" si="291"/>
        <v>0.18888888888614019</v>
      </c>
      <c r="BL504" s="95">
        <f t="shared" si="292"/>
        <v>0.10416666666391798</v>
      </c>
      <c r="BM504" s="95" t="str">
        <f t="shared" si="293"/>
        <v>00:00</v>
      </c>
      <c r="BN504" s="110"/>
    </row>
    <row r="505" spans="1:66" s="8" customFormat="1" ht="12.75" customHeight="1" x14ac:dyDescent="0.25">
      <c r="A505" s="150">
        <v>453</v>
      </c>
      <c r="B505" s="150">
        <v>23</v>
      </c>
      <c r="C505" s="90">
        <v>2</v>
      </c>
      <c r="D505" s="111" t="s">
        <v>148</v>
      </c>
      <c r="E505" s="210" t="s">
        <v>663</v>
      </c>
      <c r="F505" s="150" t="s">
        <v>16</v>
      </c>
      <c r="G505" s="150" t="s">
        <v>17</v>
      </c>
      <c r="H505" s="150" t="s">
        <v>150</v>
      </c>
      <c r="I505" s="150" t="s">
        <v>690</v>
      </c>
      <c r="J505" s="151">
        <v>45509</v>
      </c>
      <c r="K505" s="135" t="s">
        <v>122</v>
      </c>
      <c r="L505" s="135">
        <v>461000411</v>
      </c>
      <c r="M505" s="151">
        <v>45511</v>
      </c>
      <c r="N505" s="220">
        <v>45510.8125</v>
      </c>
      <c r="O505" s="220">
        <v>45510.8125</v>
      </c>
      <c r="P505" s="152">
        <v>45510.815972222219</v>
      </c>
      <c r="Q505" s="152">
        <v>45510.989583333336</v>
      </c>
      <c r="R505" s="220" t="s">
        <v>118</v>
      </c>
      <c r="S505" s="152">
        <v>45511.0625</v>
      </c>
      <c r="T505" s="152">
        <v>45511.072916666664</v>
      </c>
      <c r="U505" s="152">
        <v>45511.174305555556</v>
      </c>
      <c r="V505" s="219">
        <f t="shared" si="284"/>
        <v>0.17708333333575865</v>
      </c>
      <c r="W505" s="165">
        <v>0.20833333333333334</v>
      </c>
      <c r="X505" s="219" t="str">
        <f t="shared" si="285"/>
        <v>00:00</v>
      </c>
      <c r="Y505" s="96">
        <v>0</v>
      </c>
      <c r="Z505" s="96">
        <v>57</v>
      </c>
      <c r="AA505" s="96">
        <f t="shared" si="278"/>
        <v>57</v>
      </c>
      <c r="AB505" s="97">
        <f t="shared" si="279"/>
        <v>0</v>
      </c>
      <c r="AC505" s="97">
        <f t="shared" si="280"/>
        <v>3828.22</v>
      </c>
      <c r="AD505" s="98">
        <v>3828.22</v>
      </c>
      <c r="AE505" s="98">
        <v>3906.2</v>
      </c>
      <c r="AF505" s="98">
        <v>3910.8</v>
      </c>
      <c r="AG505" s="98">
        <f t="shared" si="281"/>
        <v>82.580000000000382</v>
      </c>
      <c r="AH505" s="99">
        <v>672.5</v>
      </c>
      <c r="AI505" s="100">
        <f t="shared" si="282"/>
        <v>2630013</v>
      </c>
      <c r="AJ505" s="100">
        <f>(1*AH505)*2</f>
        <v>1345</v>
      </c>
      <c r="AK505" s="100">
        <v>0</v>
      </c>
      <c r="AL505" s="100">
        <v>0</v>
      </c>
      <c r="AM505" s="100">
        <v>0</v>
      </c>
      <c r="AN505" s="100">
        <v>0</v>
      </c>
      <c r="AO505" s="100">
        <v>0</v>
      </c>
      <c r="AP505" s="100">
        <f t="shared" si="294"/>
        <v>131568</v>
      </c>
      <c r="AQ505" s="101">
        <f t="shared" si="286"/>
        <v>2762926</v>
      </c>
      <c r="AR505" s="101">
        <v>0</v>
      </c>
      <c r="AS505" s="101">
        <v>0</v>
      </c>
      <c r="AT505" s="102" t="s">
        <v>34</v>
      </c>
      <c r="AU505" s="109" t="s">
        <v>118</v>
      </c>
      <c r="AV505" s="222">
        <v>0</v>
      </c>
      <c r="AW505" s="105">
        <v>1</v>
      </c>
      <c r="AX505" s="216">
        <f t="shared" si="287"/>
        <v>2.1115884218062897</v>
      </c>
      <c r="AY505" s="217">
        <f t="shared" si="288"/>
        <v>55536</v>
      </c>
      <c r="AZ505" s="107"/>
      <c r="BA505" s="94">
        <v>45510.8125</v>
      </c>
      <c r="BB505" s="94">
        <v>45510.815972222219</v>
      </c>
      <c r="BC505" s="94">
        <v>45510.883333333331</v>
      </c>
      <c r="BD505" s="94">
        <v>45511.045138888891</v>
      </c>
      <c r="BE505" s="95">
        <f t="shared" si="289"/>
        <v>0.23263888889050577</v>
      </c>
      <c r="BF505" s="95">
        <v>9.0277777777777769E-3</v>
      </c>
      <c r="BG505" s="95">
        <v>6.7361111111111108E-2</v>
      </c>
      <c r="BH505" s="95">
        <f t="shared" si="290"/>
        <v>3.4722222189884633E-3</v>
      </c>
      <c r="BI505" s="95">
        <f t="shared" si="290"/>
        <v>6.7361111112404615E-2</v>
      </c>
      <c r="BJ505" s="95">
        <f t="shared" si="290"/>
        <v>0.16180555555911269</v>
      </c>
      <c r="BK505" s="95">
        <f t="shared" si="291"/>
        <v>0.22916666667151731</v>
      </c>
      <c r="BL505" s="95">
        <f t="shared" si="292"/>
        <v>0.15277777778262841</v>
      </c>
      <c r="BM505" s="95">
        <f t="shared" si="293"/>
        <v>2.4305555557172426E-2</v>
      </c>
      <c r="BN505" s="110"/>
    </row>
    <row r="506" spans="1:66" s="8" customFormat="1" ht="12.75" customHeight="1" x14ac:dyDescent="0.25">
      <c r="A506" s="150">
        <v>454</v>
      </c>
      <c r="B506" s="150">
        <v>24</v>
      </c>
      <c r="C506" s="90">
        <v>9</v>
      </c>
      <c r="D506" s="111" t="s">
        <v>113</v>
      </c>
      <c r="E506" s="210" t="s">
        <v>596</v>
      </c>
      <c r="F506" s="150" t="s">
        <v>32</v>
      </c>
      <c r="G506" s="150" t="s">
        <v>15</v>
      </c>
      <c r="H506" s="150" t="s">
        <v>182</v>
      </c>
      <c r="I506" s="150" t="s">
        <v>691</v>
      </c>
      <c r="J506" s="151">
        <v>45509</v>
      </c>
      <c r="K506" s="135" t="s">
        <v>117</v>
      </c>
      <c r="L506" s="135">
        <v>261005889</v>
      </c>
      <c r="M506" s="151">
        <v>45511</v>
      </c>
      <c r="N506" s="220">
        <v>45511.083333333336</v>
      </c>
      <c r="O506" s="220">
        <v>45511.083333333336</v>
      </c>
      <c r="P506" s="152">
        <v>45511.086805555555</v>
      </c>
      <c r="Q506" s="152">
        <v>45511.291666666664</v>
      </c>
      <c r="R506" s="220" t="s">
        <v>118</v>
      </c>
      <c r="S506" s="152" t="s">
        <v>118</v>
      </c>
      <c r="T506" s="152">
        <v>45511.319444444445</v>
      </c>
      <c r="U506" s="152">
        <v>45511.426388888889</v>
      </c>
      <c r="V506" s="219">
        <f t="shared" si="284"/>
        <v>0.20833333332848269</v>
      </c>
      <c r="W506" s="165">
        <v>0.20833333333333334</v>
      </c>
      <c r="X506" s="219" t="str">
        <f t="shared" si="285"/>
        <v>00:00</v>
      </c>
      <c r="Y506" s="96">
        <v>0</v>
      </c>
      <c r="Z506" s="96">
        <v>58</v>
      </c>
      <c r="AA506" s="96">
        <f t="shared" si="278"/>
        <v>58</v>
      </c>
      <c r="AB506" s="97">
        <f t="shared" si="279"/>
        <v>0</v>
      </c>
      <c r="AC506" s="97">
        <f t="shared" si="280"/>
        <v>3921.0700000000006</v>
      </c>
      <c r="AD506" s="98">
        <v>3921.07</v>
      </c>
      <c r="AE506" s="98">
        <v>3970.6</v>
      </c>
      <c r="AF506" s="98">
        <v>3975</v>
      </c>
      <c r="AG506" s="98">
        <f t="shared" si="281"/>
        <v>53.929999999999836</v>
      </c>
      <c r="AH506" s="99">
        <v>1484</v>
      </c>
      <c r="AI506" s="100">
        <f t="shared" si="282"/>
        <v>5898900</v>
      </c>
      <c r="AJ506" s="100">
        <f>(0*AH506)*2</f>
        <v>0</v>
      </c>
      <c r="AK506" s="100">
        <v>0</v>
      </c>
      <c r="AL506" s="100">
        <v>0</v>
      </c>
      <c r="AM506" s="100">
        <v>0</v>
      </c>
      <c r="AN506" s="100">
        <v>0</v>
      </c>
      <c r="AO506" s="100">
        <v>0</v>
      </c>
      <c r="AP506" s="100">
        <f t="shared" si="294"/>
        <v>294945</v>
      </c>
      <c r="AQ506" s="101">
        <f t="shared" si="286"/>
        <v>6193845</v>
      </c>
      <c r="AR506" s="101">
        <v>0</v>
      </c>
      <c r="AS506" s="101">
        <v>0</v>
      </c>
      <c r="AT506" s="102" t="s">
        <v>34</v>
      </c>
      <c r="AU506" s="109" t="s">
        <v>118</v>
      </c>
      <c r="AV506" s="222">
        <v>0</v>
      </c>
      <c r="AW506" s="105">
        <v>0</v>
      </c>
      <c r="AX506" s="216">
        <f t="shared" si="287"/>
        <v>1.3567295597484237</v>
      </c>
      <c r="AY506" s="217">
        <f t="shared" si="288"/>
        <v>80033</v>
      </c>
      <c r="AZ506" s="107"/>
      <c r="BA506" s="94">
        <v>45511.083333333336</v>
      </c>
      <c r="BB506" s="94">
        <v>45511.086805555555</v>
      </c>
      <c r="BC506" s="94">
        <v>45511.107638888891</v>
      </c>
      <c r="BD506" s="94">
        <v>45511.286111111112</v>
      </c>
      <c r="BE506" s="95">
        <f t="shared" si="289"/>
        <v>0.20277777777664596</v>
      </c>
      <c r="BF506" s="95">
        <v>1.4583333333333334E-2</v>
      </c>
      <c r="BG506" s="95">
        <v>8.4027777777777785E-2</v>
      </c>
      <c r="BH506" s="95">
        <f t="shared" si="290"/>
        <v>3.4722222189884633E-3</v>
      </c>
      <c r="BI506" s="95">
        <f t="shared" si="290"/>
        <v>2.0833333335758653E-2</v>
      </c>
      <c r="BJ506" s="95">
        <f t="shared" si="290"/>
        <v>0.17847222222189885</v>
      </c>
      <c r="BK506" s="95">
        <f t="shared" si="291"/>
        <v>0.1993055555576575</v>
      </c>
      <c r="BL506" s="95">
        <f t="shared" si="292"/>
        <v>0.10069444444654638</v>
      </c>
      <c r="BM506" s="95" t="str">
        <f t="shared" si="293"/>
        <v>00:00</v>
      </c>
      <c r="BN506" s="110"/>
    </row>
    <row r="507" spans="1:66" s="8" customFormat="1" ht="12.75" customHeight="1" x14ac:dyDescent="0.25">
      <c r="A507" s="150">
        <v>455</v>
      </c>
      <c r="B507" s="150">
        <v>25</v>
      </c>
      <c r="C507" s="90">
        <v>13</v>
      </c>
      <c r="D507" s="111" t="s">
        <v>113</v>
      </c>
      <c r="E507" s="210" t="s">
        <v>366</v>
      </c>
      <c r="F507" s="111" t="s">
        <v>13</v>
      </c>
      <c r="G507" s="111" t="s">
        <v>8</v>
      </c>
      <c r="H507" s="111" t="s">
        <v>131</v>
      </c>
      <c r="I507" s="150" t="s">
        <v>692</v>
      </c>
      <c r="J507" s="151">
        <v>45510</v>
      </c>
      <c r="K507" s="135" t="s">
        <v>122</v>
      </c>
      <c r="L507" s="135">
        <v>282001001</v>
      </c>
      <c r="M507" s="151">
        <v>45511</v>
      </c>
      <c r="N507" s="220">
        <v>45511.239583333336</v>
      </c>
      <c r="O507" s="220">
        <v>45511.239583333336</v>
      </c>
      <c r="P507" s="152">
        <v>45511.243055555555</v>
      </c>
      <c r="Q507" s="152">
        <v>45511.447916666664</v>
      </c>
      <c r="R507" s="220" t="s">
        <v>118</v>
      </c>
      <c r="S507" s="152" t="s">
        <v>118</v>
      </c>
      <c r="T507" s="152">
        <v>45511.486111111109</v>
      </c>
      <c r="U507" s="152">
        <v>45511.604166666664</v>
      </c>
      <c r="V507" s="219">
        <f t="shared" si="284"/>
        <v>0.20833333332848269</v>
      </c>
      <c r="W507" s="165">
        <v>0.20833333333333334</v>
      </c>
      <c r="X507" s="219" t="str">
        <f t="shared" si="285"/>
        <v>00:00</v>
      </c>
      <c r="Y507" s="96">
        <v>0</v>
      </c>
      <c r="Z507" s="96">
        <v>59</v>
      </c>
      <c r="AA507" s="96">
        <f t="shared" si="278"/>
        <v>59</v>
      </c>
      <c r="AB507" s="97">
        <f t="shared" si="279"/>
        <v>0</v>
      </c>
      <c r="AC507" s="97">
        <f t="shared" si="280"/>
        <v>3702.62</v>
      </c>
      <c r="AD507" s="98">
        <v>3702.62</v>
      </c>
      <c r="AE507" s="98">
        <v>4037.7</v>
      </c>
      <c r="AF507" s="98">
        <v>4037.8</v>
      </c>
      <c r="AG507" s="98">
        <f t="shared" si="281"/>
        <v>335.18000000000029</v>
      </c>
      <c r="AH507" s="99">
        <v>1398.7</v>
      </c>
      <c r="AI507" s="100">
        <f t="shared" si="282"/>
        <v>5647670.8600000003</v>
      </c>
      <c r="AJ507" s="100">
        <f>(0*AH507)*2</f>
        <v>0</v>
      </c>
      <c r="AK507" s="100">
        <v>0</v>
      </c>
      <c r="AL507" s="100">
        <v>0</v>
      </c>
      <c r="AM507" s="100">
        <v>0</v>
      </c>
      <c r="AN507" s="100">
        <v>0</v>
      </c>
      <c r="AO507" s="100">
        <v>0</v>
      </c>
      <c r="AP507" s="100">
        <f t="shared" si="294"/>
        <v>282384</v>
      </c>
      <c r="AQ507" s="101">
        <f t="shared" si="286"/>
        <v>5930055</v>
      </c>
      <c r="AR507" s="101">
        <v>0</v>
      </c>
      <c r="AS507" s="101">
        <v>0</v>
      </c>
      <c r="AT507" s="102" t="s">
        <v>33</v>
      </c>
      <c r="AU507" s="109" t="s">
        <v>118</v>
      </c>
      <c r="AV507" s="222">
        <v>0</v>
      </c>
      <c r="AW507" s="105">
        <v>0</v>
      </c>
      <c r="AX507" s="216">
        <f t="shared" si="287"/>
        <v>8.3010550299668218</v>
      </c>
      <c r="AY507" s="217">
        <f t="shared" si="288"/>
        <v>468817</v>
      </c>
      <c r="AZ507" s="107"/>
      <c r="BA507" s="94">
        <v>45511.239583333336</v>
      </c>
      <c r="BB507" s="94">
        <v>45511.243055555555</v>
      </c>
      <c r="BC507" s="94">
        <v>45511.316666666666</v>
      </c>
      <c r="BD507" s="94">
        <v>45511.456250000003</v>
      </c>
      <c r="BE507" s="95">
        <f t="shared" si="289"/>
        <v>0.21666666666715173</v>
      </c>
      <c r="BF507" s="95">
        <v>3.7499999999999999E-2</v>
      </c>
      <c r="BG507" s="95">
        <v>0.05</v>
      </c>
      <c r="BH507" s="95">
        <f t="shared" si="290"/>
        <v>3.4722222189884633E-3</v>
      </c>
      <c r="BI507" s="95">
        <f t="shared" si="290"/>
        <v>7.3611111110949423E-2</v>
      </c>
      <c r="BJ507" s="95">
        <f t="shared" si="290"/>
        <v>0.13958333333721384</v>
      </c>
      <c r="BK507" s="95">
        <f t="shared" si="291"/>
        <v>0.21319444444816327</v>
      </c>
      <c r="BL507" s="95">
        <f t="shared" si="292"/>
        <v>0.12569444444816325</v>
      </c>
      <c r="BM507" s="95">
        <f t="shared" si="293"/>
        <v>8.3333333338183879E-3</v>
      </c>
      <c r="BN507" s="110"/>
    </row>
    <row r="508" spans="1:66" s="8" customFormat="1" ht="12.75" customHeight="1" x14ac:dyDescent="0.25">
      <c r="A508" s="150">
        <v>456</v>
      </c>
      <c r="B508" s="150">
        <v>26</v>
      </c>
      <c r="C508" s="90">
        <v>3</v>
      </c>
      <c r="D508" s="111" t="s">
        <v>148</v>
      </c>
      <c r="E508" s="210" t="s">
        <v>663</v>
      </c>
      <c r="F508" s="150" t="s">
        <v>16</v>
      </c>
      <c r="G508" s="150" t="s">
        <v>17</v>
      </c>
      <c r="H508" s="150" t="s">
        <v>150</v>
      </c>
      <c r="I508" s="150" t="s">
        <v>693</v>
      </c>
      <c r="J508" s="151">
        <v>45510</v>
      </c>
      <c r="K508" s="135" t="s">
        <v>117</v>
      </c>
      <c r="L508" s="135">
        <v>461000412</v>
      </c>
      <c r="M508" s="151">
        <v>45511</v>
      </c>
      <c r="N508" s="220">
        <v>45511.479166666664</v>
      </c>
      <c r="O508" s="220">
        <v>45511.479166666664</v>
      </c>
      <c r="P508" s="152">
        <v>45511.482638888891</v>
      </c>
      <c r="Q508" s="152">
        <v>45511.6875</v>
      </c>
      <c r="R508" s="220" t="s">
        <v>118</v>
      </c>
      <c r="S508" s="152" t="s">
        <v>118</v>
      </c>
      <c r="T508" s="152">
        <v>45511.722222222219</v>
      </c>
      <c r="U508" s="152">
        <v>45511.798611111109</v>
      </c>
      <c r="V508" s="219">
        <f t="shared" si="284"/>
        <v>0.20833333333575865</v>
      </c>
      <c r="W508" s="165">
        <v>0.20833333333333334</v>
      </c>
      <c r="X508" s="219">
        <f t="shared" si="285"/>
        <v>2.4253099528692701E-12</v>
      </c>
      <c r="Y508" s="96">
        <v>0</v>
      </c>
      <c r="Z508" s="96">
        <v>59</v>
      </c>
      <c r="AA508" s="96">
        <f t="shared" si="278"/>
        <v>59</v>
      </c>
      <c r="AB508" s="97">
        <f t="shared" si="279"/>
        <v>0</v>
      </c>
      <c r="AC508" s="97">
        <f t="shared" si="280"/>
        <v>3997.78</v>
      </c>
      <c r="AD508" s="98">
        <v>3997.78</v>
      </c>
      <c r="AE508" s="98">
        <v>4061.8</v>
      </c>
      <c r="AF508" s="98">
        <v>4070.4</v>
      </c>
      <c r="AG508" s="98">
        <f t="shared" si="281"/>
        <v>72.619999999999891</v>
      </c>
      <c r="AH508" s="99">
        <v>672.5</v>
      </c>
      <c r="AI508" s="100">
        <f t="shared" si="282"/>
        <v>2737344</v>
      </c>
      <c r="AJ508" s="100">
        <f>(0*AH508)*2</f>
        <v>0</v>
      </c>
      <c r="AK508" s="100">
        <v>0</v>
      </c>
      <c r="AL508" s="100">
        <v>24290</v>
      </c>
      <c r="AM508" s="100">
        <v>0</v>
      </c>
      <c r="AN508" s="100">
        <v>0</v>
      </c>
      <c r="AO508" s="100">
        <v>0</v>
      </c>
      <c r="AP508" s="100">
        <f t="shared" si="294"/>
        <v>138082</v>
      </c>
      <c r="AQ508" s="101">
        <f t="shared" si="286"/>
        <v>2899716</v>
      </c>
      <c r="AR508" s="101">
        <v>0</v>
      </c>
      <c r="AS508" s="101">
        <v>0</v>
      </c>
      <c r="AT508" s="102" t="s">
        <v>34</v>
      </c>
      <c r="AU508" s="109">
        <v>3</v>
      </c>
      <c r="AV508" s="222">
        <f>11.2-7.7</f>
        <v>3.4999999999999991</v>
      </c>
      <c r="AW508" s="105">
        <v>0</v>
      </c>
      <c r="AX508" s="216">
        <f t="shared" si="287"/>
        <v>1.7840998427672929</v>
      </c>
      <c r="AY508" s="217">
        <f t="shared" si="288"/>
        <v>48837</v>
      </c>
      <c r="AZ508" s="107"/>
      <c r="BA508" s="94">
        <v>45511.458333333336</v>
      </c>
      <c r="BB508" s="94">
        <v>45511.482638888891</v>
      </c>
      <c r="BC508" s="94">
        <v>45511.486111111109</v>
      </c>
      <c r="BD508" s="94">
        <v>45511.713888888888</v>
      </c>
      <c r="BE508" s="95">
        <f t="shared" si="289"/>
        <v>0.25555555555183673</v>
      </c>
      <c r="BF508" s="95">
        <v>5.2777777777777778E-2</v>
      </c>
      <c r="BG508" s="95">
        <v>0</v>
      </c>
      <c r="BH508" s="95">
        <f t="shared" si="290"/>
        <v>2.4305555554747116E-2</v>
      </c>
      <c r="BI508" s="95">
        <f t="shared" si="290"/>
        <v>3.4722222189884633E-3</v>
      </c>
      <c r="BJ508" s="95">
        <f t="shared" si="290"/>
        <v>0.22777777777810115</v>
      </c>
      <c r="BK508" s="95">
        <f t="shared" si="291"/>
        <v>0.23124999999708962</v>
      </c>
      <c r="BL508" s="95">
        <f t="shared" si="292"/>
        <v>0.17847222221931183</v>
      </c>
      <c r="BM508" s="95">
        <f t="shared" si="293"/>
        <v>4.722222221850339E-2</v>
      </c>
      <c r="BN508" s="110"/>
    </row>
    <row r="509" spans="1:66" s="8" customFormat="1" ht="12.75" customHeight="1" x14ac:dyDescent="0.25">
      <c r="A509" s="150">
        <v>457</v>
      </c>
      <c r="B509" s="150">
        <v>27</v>
      </c>
      <c r="C509" s="90">
        <v>4</v>
      </c>
      <c r="D509" s="111" t="s">
        <v>148</v>
      </c>
      <c r="E509" s="210" t="s">
        <v>663</v>
      </c>
      <c r="F509" s="150" t="s">
        <v>16</v>
      </c>
      <c r="G509" s="150" t="s">
        <v>17</v>
      </c>
      <c r="H509" s="150" t="s">
        <v>150</v>
      </c>
      <c r="I509" s="150" t="s">
        <v>694</v>
      </c>
      <c r="J509" s="151">
        <v>45510</v>
      </c>
      <c r="K509" s="135" t="s">
        <v>122</v>
      </c>
      <c r="L509" s="135">
        <v>461000413</v>
      </c>
      <c r="M509" s="151">
        <v>45512</v>
      </c>
      <c r="N509" s="220">
        <v>45511.677083333336</v>
      </c>
      <c r="O509" s="220">
        <v>45511.677083333336</v>
      </c>
      <c r="P509" s="152">
        <v>45511.680555555555</v>
      </c>
      <c r="Q509" s="152">
        <v>45511.885416666664</v>
      </c>
      <c r="R509" s="220" t="s">
        <v>118</v>
      </c>
      <c r="S509" s="152">
        <v>45511.927083333336</v>
      </c>
      <c r="T509" s="152">
        <v>45511.9375</v>
      </c>
      <c r="U509" s="152">
        <v>45512.072916666664</v>
      </c>
      <c r="V509" s="219">
        <f t="shared" si="284"/>
        <v>0.20833333332848269</v>
      </c>
      <c r="W509" s="165">
        <v>0.20833333333333334</v>
      </c>
      <c r="X509" s="219" t="str">
        <f t="shared" si="285"/>
        <v>00:00</v>
      </c>
      <c r="Y509" s="96">
        <v>0</v>
      </c>
      <c r="Z509" s="96">
        <v>59</v>
      </c>
      <c r="AA509" s="96">
        <f t="shared" si="278"/>
        <v>59</v>
      </c>
      <c r="AB509" s="97">
        <f t="shared" si="279"/>
        <v>0</v>
      </c>
      <c r="AC509" s="97">
        <f t="shared" si="280"/>
        <v>4012.43</v>
      </c>
      <c r="AD509" s="98">
        <v>4012.43</v>
      </c>
      <c r="AE509" s="98">
        <v>4053</v>
      </c>
      <c r="AF509" s="98">
        <v>4065</v>
      </c>
      <c r="AG509" s="98">
        <f t="shared" si="281"/>
        <v>52.570000000000164</v>
      </c>
      <c r="AH509" s="99">
        <v>672.5</v>
      </c>
      <c r="AI509" s="100">
        <f t="shared" si="282"/>
        <v>2733712.5</v>
      </c>
      <c r="AJ509" s="100">
        <f>(0*AH509)*2</f>
        <v>0</v>
      </c>
      <c r="AK509" s="100">
        <v>0</v>
      </c>
      <c r="AL509" s="100">
        <v>24290</v>
      </c>
      <c r="AM509" s="100">
        <v>0</v>
      </c>
      <c r="AN509" s="100">
        <v>0</v>
      </c>
      <c r="AO509" s="100">
        <v>0</v>
      </c>
      <c r="AP509" s="100">
        <f t="shared" si="294"/>
        <v>137901</v>
      </c>
      <c r="AQ509" s="101">
        <f t="shared" si="286"/>
        <v>2895904</v>
      </c>
      <c r="AR509" s="101">
        <v>0</v>
      </c>
      <c r="AS509" s="101">
        <v>0</v>
      </c>
      <c r="AT509" s="102" t="s">
        <v>34</v>
      </c>
      <c r="AU509" s="109">
        <v>2</v>
      </c>
      <c r="AV509" s="222">
        <f>14.96-11.46</f>
        <v>3.5</v>
      </c>
      <c r="AW509" s="105">
        <v>1</v>
      </c>
      <c r="AX509" s="216">
        <f t="shared" si="287"/>
        <v>1.2932349323493275</v>
      </c>
      <c r="AY509" s="217">
        <f t="shared" si="288"/>
        <v>35354</v>
      </c>
      <c r="AZ509" s="107"/>
      <c r="BA509" s="94">
        <v>45511.677083333336</v>
      </c>
      <c r="BB509" s="94">
        <v>45511.680555555555</v>
      </c>
      <c r="BC509" s="94">
        <v>45511.725694444445</v>
      </c>
      <c r="BD509" s="94">
        <v>45511.929166666669</v>
      </c>
      <c r="BE509" s="95">
        <f t="shared" si="289"/>
        <v>0.25208333333284827</v>
      </c>
      <c r="BF509" s="95">
        <v>4.791666666666667E-2</v>
      </c>
      <c r="BG509" s="95">
        <v>3.3333333333333333E-2</v>
      </c>
      <c r="BH509" s="95">
        <f t="shared" si="290"/>
        <v>3.4722222189884633E-3</v>
      </c>
      <c r="BI509" s="95">
        <f t="shared" si="290"/>
        <v>4.5138888890505768E-2</v>
      </c>
      <c r="BJ509" s="95">
        <f t="shared" si="290"/>
        <v>0.20347222222335404</v>
      </c>
      <c r="BK509" s="95">
        <f t="shared" si="291"/>
        <v>0.24861111111385981</v>
      </c>
      <c r="BL509" s="95">
        <f t="shared" si="292"/>
        <v>0.16736111111385982</v>
      </c>
      <c r="BM509" s="95">
        <f t="shared" si="293"/>
        <v>4.3749999999514927E-2</v>
      </c>
      <c r="BN509" s="110"/>
    </row>
    <row r="510" spans="1:66" s="8" customFormat="1" ht="12.75" customHeight="1" x14ac:dyDescent="0.25">
      <c r="A510" s="150">
        <v>458</v>
      </c>
      <c r="B510" s="150">
        <v>28</v>
      </c>
      <c r="C510" s="90">
        <v>14</v>
      </c>
      <c r="D510" s="111" t="s">
        <v>113</v>
      </c>
      <c r="E510" s="210" t="s">
        <v>551</v>
      </c>
      <c r="F510" s="150" t="s">
        <v>29</v>
      </c>
      <c r="G510" s="150" t="s">
        <v>8</v>
      </c>
      <c r="H510" s="150" t="s">
        <v>124</v>
      </c>
      <c r="I510" s="150" t="s">
        <v>695</v>
      </c>
      <c r="J510" s="151">
        <v>45511</v>
      </c>
      <c r="K510" s="135" t="s">
        <v>117</v>
      </c>
      <c r="L510" s="135">
        <v>261005890</v>
      </c>
      <c r="M510" s="151">
        <v>45512</v>
      </c>
      <c r="N510" s="220">
        <v>45511.881944444445</v>
      </c>
      <c r="O510" s="220">
        <v>45511.881944444445</v>
      </c>
      <c r="P510" s="152">
        <v>45511.885416666664</v>
      </c>
      <c r="Q510" s="152">
        <v>45512.090277777781</v>
      </c>
      <c r="R510" s="220" t="s">
        <v>118</v>
      </c>
      <c r="S510" s="152">
        <v>45512.159722222219</v>
      </c>
      <c r="T510" s="152">
        <v>45512.197916666664</v>
      </c>
      <c r="U510" s="152">
        <v>45512.319444444445</v>
      </c>
      <c r="V510" s="219">
        <f t="shared" si="284"/>
        <v>0.20833333333575865</v>
      </c>
      <c r="W510" s="165">
        <v>0.20833333333333334</v>
      </c>
      <c r="X510" s="219">
        <f t="shared" si="285"/>
        <v>2.4253099528692701E-12</v>
      </c>
      <c r="Y510" s="96">
        <v>0</v>
      </c>
      <c r="Z510" s="96">
        <v>58</v>
      </c>
      <c r="AA510" s="96">
        <f t="shared" si="278"/>
        <v>58</v>
      </c>
      <c r="AB510" s="97">
        <f t="shared" si="279"/>
        <v>0</v>
      </c>
      <c r="AC510" s="97">
        <f t="shared" si="280"/>
        <v>3984.4399999999996</v>
      </c>
      <c r="AD510" s="98">
        <v>3984.44</v>
      </c>
      <c r="AE510" s="98">
        <v>3976.2</v>
      </c>
      <c r="AF510" s="98">
        <v>3989.4</v>
      </c>
      <c r="AG510" s="98">
        <f t="shared" si="281"/>
        <v>4.9600000000000364</v>
      </c>
      <c r="AH510" s="99">
        <v>797.2</v>
      </c>
      <c r="AI510" s="100">
        <f t="shared" si="282"/>
        <v>3180349.68</v>
      </c>
      <c r="AJ510" s="100">
        <f>(21.6*AH510)*3</f>
        <v>51658.559999999998</v>
      </c>
      <c r="AK510" s="100">
        <v>0</v>
      </c>
      <c r="AL510" s="100">
        <v>0</v>
      </c>
      <c r="AM510" s="100">
        <v>0</v>
      </c>
      <c r="AN510" s="100"/>
      <c r="AO510" s="100">
        <v>0</v>
      </c>
      <c r="AP510" s="100">
        <f t="shared" si="294"/>
        <v>161601</v>
      </c>
      <c r="AQ510" s="101">
        <f t="shared" si="286"/>
        <v>3393610</v>
      </c>
      <c r="AR510" s="101">
        <v>0</v>
      </c>
      <c r="AS510" s="101">
        <v>0</v>
      </c>
      <c r="AT510" s="102" t="s">
        <v>33</v>
      </c>
      <c r="AU510" s="109" t="s">
        <v>118</v>
      </c>
      <c r="AV510" s="222">
        <v>0</v>
      </c>
      <c r="AW510" s="105">
        <v>2</v>
      </c>
      <c r="AX510" s="216">
        <f t="shared" si="287"/>
        <v>0.12432947310372579</v>
      </c>
      <c r="AY510" s="217">
        <f t="shared" si="288"/>
        <v>3955</v>
      </c>
      <c r="AZ510" s="107"/>
      <c r="BA510" s="94">
        <v>45511.881944444445</v>
      </c>
      <c r="BB510" s="94">
        <v>45511.885416666664</v>
      </c>
      <c r="BC510" s="94">
        <v>45512.020833333336</v>
      </c>
      <c r="BD510" s="94">
        <v>45512.149305555555</v>
      </c>
      <c r="BE510" s="95">
        <f t="shared" si="289"/>
        <v>0.26736111110949423</v>
      </c>
      <c r="BF510" s="95">
        <v>8.819444444444445E-2</v>
      </c>
      <c r="BG510" s="95">
        <v>5.0694444444444445E-2</v>
      </c>
      <c r="BH510" s="95">
        <f t="shared" si="290"/>
        <v>3.4722222189884633E-3</v>
      </c>
      <c r="BI510" s="95">
        <f t="shared" si="290"/>
        <v>0.13541666667151731</v>
      </c>
      <c r="BJ510" s="95">
        <f t="shared" si="290"/>
        <v>0.12847222221898846</v>
      </c>
      <c r="BK510" s="95">
        <f t="shared" si="291"/>
        <v>0.26388888889050577</v>
      </c>
      <c r="BL510" s="95">
        <f t="shared" si="292"/>
        <v>0.12500000000161687</v>
      </c>
      <c r="BM510" s="95">
        <f t="shared" si="293"/>
        <v>5.9027777776160889E-2</v>
      </c>
      <c r="BN510" s="110"/>
    </row>
    <row r="511" spans="1:66" s="8" customFormat="1" ht="12.75" customHeight="1" x14ac:dyDescent="0.25">
      <c r="A511" s="150">
        <v>459</v>
      </c>
      <c r="B511" s="150">
        <v>29</v>
      </c>
      <c r="C511" s="90">
        <v>5</v>
      </c>
      <c r="D511" s="111" t="s">
        <v>148</v>
      </c>
      <c r="E511" s="210" t="s">
        <v>663</v>
      </c>
      <c r="F511" s="150" t="s">
        <v>16</v>
      </c>
      <c r="G511" s="150" t="s">
        <v>17</v>
      </c>
      <c r="H511" s="150" t="s">
        <v>150</v>
      </c>
      <c r="I511" s="150" t="s">
        <v>696</v>
      </c>
      <c r="J511" s="151">
        <v>45510</v>
      </c>
      <c r="K511" s="135" t="s">
        <v>122</v>
      </c>
      <c r="L511" s="135">
        <v>461000414</v>
      </c>
      <c r="M511" s="151">
        <v>45512</v>
      </c>
      <c r="N511" s="220">
        <v>45512.15625</v>
      </c>
      <c r="O511" s="220">
        <v>45512.15625</v>
      </c>
      <c r="P511" s="152">
        <v>45512.159722222219</v>
      </c>
      <c r="Q511" s="152">
        <v>45512.364583333336</v>
      </c>
      <c r="R511" s="220" t="s">
        <v>118</v>
      </c>
      <c r="S511" s="152">
        <v>45512.427083333336</v>
      </c>
      <c r="T511" s="152">
        <v>45512.427083333336</v>
      </c>
      <c r="U511" s="152">
        <v>45512.484722222223</v>
      </c>
      <c r="V511" s="219">
        <f t="shared" si="284"/>
        <v>0.20833333333575865</v>
      </c>
      <c r="W511" s="165">
        <v>0.20833333333333334</v>
      </c>
      <c r="X511" s="219">
        <f t="shared" si="285"/>
        <v>2.4253099528692701E-12</v>
      </c>
      <c r="Y511" s="96">
        <v>0</v>
      </c>
      <c r="Z511" s="96">
        <v>59</v>
      </c>
      <c r="AA511" s="96">
        <f t="shared" si="278"/>
        <v>59</v>
      </c>
      <c r="AB511" s="97">
        <f t="shared" si="279"/>
        <v>0</v>
      </c>
      <c r="AC511" s="97">
        <f t="shared" si="280"/>
        <v>3872.32</v>
      </c>
      <c r="AD511" s="98">
        <v>3872.32</v>
      </c>
      <c r="AE511" s="98">
        <v>4032.5</v>
      </c>
      <c r="AF511" s="98">
        <v>4035</v>
      </c>
      <c r="AG511" s="98">
        <f t="shared" si="281"/>
        <v>162.67999999999984</v>
      </c>
      <c r="AH511" s="99">
        <v>672.5</v>
      </c>
      <c r="AI511" s="100">
        <f t="shared" si="282"/>
        <v>2713537.5</v>
      </c>
      <c r="AJ511" s="100">
        <f>(1.4*AH511)*2</f>
        <v>1882.9999999999998</v>
      </c>
      <c r="AK511" s="100">
        <v>0</v>
      </c>
      <c r="AL511" s="100">
        <v>0</v>
      </c>
      <c r="AM511" s="100">
        <v>0</v>
      </c>
      <c r="AN511" s="100">
        <v>0</v>
      </c>
      <c r="AO511" s="100">
        <v>0</v>
      </c>
      <c r="AP511" s="100">
        <f t="shared" si="294"/>
        <v>135772</v>
      </c>
      <c r="AQ511" s="101">
        <f t="shared" si="286"/>
        <v>2851193</v>
      </c>
      <c r="AR511" s="101">
        <v>0</v>
      </c>
      <c r="AS511" s="101">
        <v>0</v>
      </c>
      <c r="AT511" s="102" t="s">
        <v>33</v>
      </c>
      <c r="AU511" s="109" t="s">
        <v>118</v>
      </c>
      <c r="AV511" s="222">
        <v>0</v>
      </c>
      <c r="AW511" s="105">
        <v>2</v>
      </c>
      <c r="AX511" s="216">
        <f t="shared" si="287"/>
        <v>4.0317224287484477</v>
      </c>
      <c r="AY511" s="217">
        <f t="shared" si="288"/>
        <v>109403</v>
      </c>
      <c r="AZ511" s="107"/>
      <c r="BA511" s="94">
        <v>45512.15625</v>
      </c>
      <c r="BB511" s="94">
        <v>45512.159722222219</v>
      </c>
      <c r="BC511" s="94">
        <v>45512.184027777781</v>
      </c>
      <c r="BD511" s="94">
        <v>45512.402083333334</v>
      </c>
      <c r="BE511" s="95">
        <f t="shared" si="289"/>
        <v>0.24583333333430346</v>
      </c>
      <c r="BF511" s="95">
        <v>3.0555555555555555E-2</v>
      </c>
      <c r="BG511" s="95">
        <v>5.1388888888888887E-2</v>
      </c>
      <c r="BH511" s="95">
        <f t="shared" si="290"/>
        <v>3.4722222189884633E-3</v>
      </c>
      <c r="BI511" s="95">
        <f t="shared" si="290"/>
        <v>2.4305555562023073E-2</v>
      </c>
      <c r="BJ511" s="95">
        <f t="shared" si="290"/>
        <v>0.21805555555329192</v>
      </c>
      <c r="BK511" s="95">
        <f t="shared" si="291"/>
        <v>0.242361111115315</v>
      </c>
      <c r="BL511" s="95">
        <f t="shared" si="292"/>
        <v>0.16041666667087057</v>
      </c>
      <c r="BM511" s="95">
        <f t="shared" si="293"/>
        <v>3.7500000000970118E-2</v>
      </c>
      <c r="BN511" s="110"/>
    </row>
    <row r="512" spans="1:66" s="8" customFormat="1" ht="12.75" customHeight="1" x14ac:dyDescent="0.25">
      <c r="A512" s="150">
        <v>460</v>
      </c>
      <c r="B512" s="150">
        <v>30</v>
      </c>
      <c r="C512" s="90">
        <v>4</v>
      </c>
      <c r="D512" s="111" t="s">
        <v>113</v>
      </c>
      <c r="E512" s="210" t="s">
        <v>681</v>
      </c>
      <c r="F512" s="150" t="s">
        <v>27</v>
      </c>
      <c r="G512" s="150" t="s">
        <v>12</v>
      </c>
      <c r="H512" s="150" t="s">
        <v>115</v>
      </c>
      <c r="I512" s="150" t="s">
        <v>697</v>
      </c>
      <c r="J512" s="151">
        <v>45512</v>
      </c>
      <c r="K512" s="151" t="s">
        <v>117</v>
      </c>
      <c r="L512" s="135">
        <v>282001002</v>
      </c>
      <c r="M512" s="151">
        <v>45513</v>
      </c>
      <c r="N512" s="220">
        <v>45512.46875</v>
      </c>
      <c r="O512" s="220">
        <v>45512.46875</v>
      </c>
      <c r="P512" s="152">
        <v>45512.475694444445</v>
      </c>
      <c r="Q512" s="152">
        <v>45512.666666666664</v>
      </c>
      <c r="R512" s="220" t="s">
        <v>118</v>
      </c>
      <c r="S512" s="152" t="s">
        <v>118</v>
      </c>
      <c r="T512" s="152">
        <v>45512.673611111109</v>
      </c>
      <c r="U512" s="152">
        <v>45512.795138888891</v>
      </c>
      <c r="V512" s="219">
        <f t="shared" si="284"/>
        <v>0.19791666666424135</v>
      </c>
      <c r="W512" s="165">
        <v>0.20833333333333334</v>
      </c>
      <c r="X512" s="219" t="str">
        <f t="shared" si="285"/>
        <v>00:00</v>
      </c>
      <c r="Y512" s="96">
        <v>0</v>
      </c>
      <c r="Z512" s="96">
        <v>58</v>
      </c>
      <c r="AA512" s="96">
        <f t="shared" si="278"/>
        <v>58</v>
      </c>
      <c r="AB512" s="97">
        <f t="shared" si="279"/>
        <v>0</v>
      </c>
      <c r="AC512" s="97">
        <f t="shared" si="280"/>
        <v>3943</v>
      </c>
      <c r="AD512" s="98">
        <v>3943</v>
      </c>
      <c r="AE512" s="98">
        <v>3973.7</v>
      </c>
      <c r="AF512" s="98">
        <v>3994</v>
      </c>
      <c r="AG512" s="98">
        <f t="shared" si="281"/>
        <v>51</v>
      </c>
      <c r="AH512" s="99">
        <v>1586.7</v>
      </c>
      <c r="AI512" s="100">
        <f t="shared" si="282"/>
        <v>6337279.7999999998</v>
      </c>
      <c r="AJ512" s="100">
        <v>0</v>
      </c>
      <c r="AK512" s="100">
        <v>0</v>
      </c>
      <c r="AL512" s="100">
        <v>24140</v>
      </c>
      <c r="AM512" s="100">
        <v>0</v>
      </c>
      <c r="AN512" s="100">
        <v>0</v>
      </c>
      <c r="AO512" s="100">
        <f>IFERROR(AF512*20+(((AJ512/AH512)/2)*20),0)</f>
        <v>79880</v>
      </c>
      <c r="AP512" s="100">
        <f t="shared" si="294"/>
        <v>322065</v>
      </c>
      <c r="AQ512" s="101">
        <f t="shared" si="286"/>
        <v>6763365</v>
      </c>
      <c r="AR512" s="101">
        <v>0</v>
      </c>
      <c r="AS512" s="101">
        <v>0</v>
      </c>
      <c r="AT512" s="102" t="s">
        <v>34</v>
      </c>
      <c r="AU512" s="109">
        <v>9</v>
      </c>
      <c r="AV512" s="222">
        <f>28.81-18.31</f>
        <v>10.5</v>
      </c>
      <c r="AW512" s="105">
        <v>0</v>
      </c>
      <c r="AX512" s="216">
        <f t="shared" si="287"/>
        <v>1.2769153730595895</v>
      </c>
      <c r="AY512" s="217">
        <f t="shared" si="288"/>
        <v>80922</v>
      </c>
      <c r="AZ512" s="107"/>
      <c r="BA512" s="94">
        <v>45512.46875</v>
      </c>
      <c r="BB512" s="94">
        <v>45512.475694444445</v>
      </c>
      <c r="BC512" s="94">
        <v>45512.475694444445</v>
      </c>
      <c r="BD512" s="94">
        <v>45512.638888888891</v>
      </c>
      <c r="BE512" s="95">
        <f t="shared" si="289"/>
        <v>0.17013888889050577</v>
      </c>
      <c r="BF512" s="95">
        <v>1.9444444444444445E-2</v>
      </c>
      <c r="BG512" s="95">
        <v>0</v>
      </c>
      <c r="BH512" s="95">
        <f t="shared" si="290"/>
        <v>6.9444444452528842E-3</v>
      </c>
      <c r="BI512" s="95">
        <f t="shared" si="290"/>
        <v>0</v>
      </c>
      <c r="BJ512" s="95">
        <f t="shared" si="290"/>
        <v>0.16319444444525288</v>
      </c>
      <c r="BK512" s="95">
        <f t="shared" si="291"/>
        <v>0.16319444444525288</v>
      </c>
      <c r="BL512" s="95">
        <f t="shared" si="292"/>
        <v>0.14375000000080845</v>
      </c>
      <c r="BM512" s="95" t="str">
        <f t="shared" si="293"/>
        <v>00:00</v>
      </c>
      <c r="BN512" s="110"/>
    </row>
    <row r="513" spans="1:66" s="8" customFormat="1" ht="12.75" customHeight="1" x14ac:dyDescent="0.25">
      <c r="A513" s="150">
        <v>461</v>
      </c>
      <c r="B513" s="150">
        <v>31</v>
      </c>
      <c r="C513" s="90">
        <v>6</v>
      </c>
      <c r="D513" s="111" t="s">
        <v>148</v>
      </c>
      <c r="E513" s="210" t="s">
        <v>663</v>
      </c>
      <c r="F513" s="150" t="s">
        <v>16</v>
      </c>
      <c r="G513" s="150" t="s">
        <v>17</v>
      </c>
      <c r="H513" s="150" t="s">
        <v>150</v>
      </c>
      <c r="I513" s="150" t="s">
        <v>698</v>
      </c>
      <c r="J513" s="151">
        <v>45510</v>
      </c>
      <c r="K513" s="151" t="s">
        <v>122</v>
      </c>
      <c r="L513" s="135">
        <v>461000415</v>
      </c>
      <c r="M513" s="151">
        <v>45513</v>
      </c>
      <c r="N513" s="220">
        <v>45512.666666666664</v>
      </c>
      <c r="O513" s="220">
        <v>45512.666666666664</v>
      </c>
      <c r="P513" s="152">
        <v>45512.670138888891</v>
      </c>
      <c r="Q513" s="152">
        <v>45512.875</v>
      </c>
      <c r="R513" s="220" t="s">
        <v>118</v>
      </c>
      <c r="S513" s="152" t="s">
        <v>118</v>
      </c>
      <c r="T513" s="152">
        <v>45512.916666666664</v>
      </c>
      <c r="U513" s="152">
        <v>45513.07916666667</v>
      </c>
      <c r="V513" s="219">
        <f t="shared" si="284"/>
        <v>0.20833333333575865</v>
      </c>
      <c r="W513" s="165">
        <v>0.20833333333333334</v>
      </c>
      <c r="X513" s="219">
        <f t="shared" si="285"/>
        <v>2.4253099528692701E-12</v>
      </c>
      <c r="Y513" s="96">
        <v>0</v>
      </c>
      <c r="Z513" s="96">
        <v>59</v>
      </c>
      <c r="AA513" s="96">
        <f t="shared" si="278"/>
        <v>59</v>
      </c>
      <c r="AB513" s="97">
        <f t="shared" si="279"/>
        <v>0</v>
      </c>
      <c r="AC513" s="97">
        <f t="shared" si="280"/>
        <v>4054.1000000000004</v>
      </c>
      <c r="AD513" s="98">
        <v>4054.1</v>
      </c>
      <c r="AE513" s="98">
        <v>4048</v>
      </c>
      <c r="AF513" s="98">
        <v>4058.6</v>
      </c>
      <c r="AG513" s="98">
        <f t="shared" si="281"/>
        <v>4.5</v>
      </c>
      <c r="AH513" s="99">
        <v>672.5</v>
      </c>
      <c r="AI513" s="100">
        <f t="shared" si="282"/>
        <v>2729408.5</v>
      </c>
      <c r="AJ513" s="100">
        <f>(21.4*AH513)*3</f>
        <v>43174.499999999993</v>
      </c>
      <c r="AK513" s="100">
        <v>0</v>
      </c>
      <c r="AL513" s="100">
        <v>0</v>
      </c>
      <c r="AM513" s="100">
        <v>0</v>
      </c>
      <c r="AN513" s="100">
        <v>0</v>
      </c>
      <c r="AO513" s="100">
        <v>0</v>
      </c>
      <c r="AP513" s="100">
        <f t="shared" si="294"/>
        <v>138630</v>
      </c>
      <c r="AQ513" s="101">
        <f t="shared" si="286"/>
        <v>2911213</v>
      </c>
      <c r="AR513" s="101">
        <v>0</v>
      </c>
      <c r="AS513" s="101">
        <v>0</v>
      </c>
      <c r="AT513" s="102" t="s">
        <v>33</v>
      </c>
      <c r="AU513" s="109" t="s">
        <v>118</v>
      </c>
      <c r="AV513" s="222">
        <v>0</v>
      </c>
      <c r="AW513" s="105">
        <v>0</v>
      </c>
      <c r="AX513" s="216">
        <f t="shared" si="287"/>
        <v>0.11087567141378801</v>
      </c>
      <c r="AY513" s="217">
        <f t="shared" si="288"/>
        <v>3027</v>
      </c>
      <c r="AZ513" s="107"/>
      <c r="BA513" s="94">
        <v>45512.666666666664</v>
      </c>
      <c r="BB513" s="94">
        <v>45512.670138888891</v>
      </c>
      <c r="BC513" s="94">
        <v>45512.690972222219</v>
      </c>
      <c r="BD513" s="94">
        <v>45512.885416666664</v>
      </c>
      <c r="BE513" s="95">
        <f t="shared" si="289"/>
        <v>0.21875</v>
      </c>
      <c r="BF513" s="95">
        <v>3.4027777777777775E-2</v>
      </c>
      <c r="BG513" s="95">
        <v>1.3888888888888888E-2</v>
      </c>
      <c r="BH513" s="95">
        <f t="shared" si="290"/>
        <v>3.4722222262644209E-3</v>
      </c>
      <c r="BI513" s="95">
        <f t="shared" si="290"/>
        <v>2.0833333328482695E-2</v>
      </c>
      <c r="BJ513" s="95">
        <f t="shared" si="290"/>
        <v>0.19444444444525288</v>
      </c>
      <c r="BK513" s="95">
        <f t="shared" si="291"/>
        <v>0.21527777777373558</v>
      </c>
      <c r="BL513" s="95">
        <f t="shared" si="292"/>
        <v>0.16736111110706892</v>
      </c>
      <c r="BM513" s="95">
        <f t="shared" si="293"/>
        <v>1.0416666666666657E-2</v>
      </c>
      <c r="BN513" s="110"/>
    </row>
    <row r="514" spans="1:66" s="8" customFormat="1" ht="12.75" customHeight="1" x14ac:dyDescent="0.25">
      <c r="A514" s="150">
        <v>462</v>
      </c>
      <c r="B514" s="150">
        <v>32</v>
      </c>
      <c r="C514" s="90">
        <v>10</v>
      </c>
      <c r="D514" s="111" t="s">
        <v>113</v>
      </c>
      <c r="E514" s="210" t="s">
        <v>596</v>
      </c>
      <c r="F514" s="150" t="s">
        <v>32</v>
      </c>
      <c r="G514" s="150" t="s">
        <v>15</v>
      </c>
      <c r="H514" s="150" t="s">
        <v>146</v>
      </c>
      <c r="I514" s="150" t="s">
        <v>699</v>
      </c>
      <c r="J514" s="151">
        <v>45512</v>
      </c>
      <c r="K514" s="135" t="s">
        <v>117</v>
      </c>
      <c r="L514" s="135">
        <v>261005895</v>
      </c>
      <c r="M514" s="151">
        <v>45513</v>
      </c>
      <c r="N514" s="220">
        <v>45512.989583333336</v>
      </c>
      <c r="O514" s="220">
        <v>45512.989583333336</v>
      </c>
      <c r="P514" s="152">
        <v>45512.996527777781</v>
      </c>
      <c r="Q514" s="152">
        <v>45513.197916666664</v>
      </c>
      <c r="R514" s="220" t="s">
        <v>118</v>
      </c>
      <c r="S514" s="152" t="s">
        <v>118</v>
      </c>
      <c r="T514" s="152">
        <v>45513.25</v>
      </c>
      <c r="U514" s="152">
        <v>45513.309027777781</v>
      </c>
      <c r="V514" s="219">
        <f t="shared" si="284"/>
        <v>0.20833333332848269</v>
      </c>
      <c r="W514" s="165">
        <v>0.20833333333333334</v>
      </c>
      <c r="X514" s="219" t="str">
        <f t="shared" si="285"/>
        <v>00:00</v>
      </c>
      <c r="Y514" s="96">
        <v>0</v>
      </c>
      <c r="Z514" s="96">
        <v>59</v>
      </c>
      <c r="AA514" s="96">
        <f t="shared" si="278"/>
        <v>59</v>
      </c>
      <c r="AB514" s="97">
        <f t="shared" si="279"/>
        <v>0</v>
      </c>
      <c r="AC514" s="97">
        <f t="shared" si="280"/>
        <v>3916.27</v>
      </c>
      <c r="AD514" s="98">
        <v>3916.27</v>
      </c>
      <c r="AE514" s="98">
        <v>4034.9</v>
      </c>
      <c r="AF514" s="98">
        <v>4037.8</v>
      </c>
      <c r="AG514" s="98">
        <f t="shared" si="281"/>
        <v>121.5300000000002</v>
      </c>
      <c r="AH514" s="99">
        <v>1398.7</v>
      </c>
      <c r="AI514" s="100">
        <f t="shared" si="282"/>
        <v>5647670.8600000003</v>
      </c>
      <c r="AJ514" s="100">
        <f t="shared" ref="AJ514:AJ519" si="295">(0*AH514)*2</f>
        <v>0</v>
      </c>
      <c r="AK514" s="100">
        <v>0</v>
      </c>
      <c r="AL514" s="100">
        <v>0</v>
      </c>
      <c r="AM514" s="100">
        <v>0</v>
      </c>
      <c r="AN514" s="100">
        <v>0</v>
      </c>
      <c r="AO514" s="100">
        <v>0</v>
      </c>
      <c r="AP514" s="100">
        <f t="shared" si="294"/>
        <v>282384</v>
      </c>
      <c r="AQ514" s="101">
        <f t="shared" si="286"/>
        <v>5930055</v>
      </c>
      <c r="AR514" s="101">
        <v>0</v>
      </c>
      <c r="AS514" s="101">
        <v>0</v>
      </c>
      <c r="AT514" s="102" t="s">
        <v>33</v>
      </c>
      <c r="AU514" s="109" t="s">
        <v>118</v>
      </c>
      <c r="AV514" s="222">
        <v>0</v>
      </c>
      <c r="AW514" s="105">
        <v>0</v>
      </c>
      <c r="AX514" s="216">
        <f t="shared" si="287"/>
        <v>3.0098073208182718</v>
      </c>
      <c r="AY514" s="217">
        <f t="shared" si="288"/>
        <v>169985</v>
      </c>
      <c r="AZ514" s="107"/>
      <c r="BA514" s="94">
        <v>45512.989583333336</v>
      </c>
      <c r="BB514" s="94">
        <v>45512.996527777781</v>
      </c>
      <c r="BC514" s="94">
        <v>45512.996527777781</v>
      </c>
      <c r="BD514" s="94">
        <v>45513.192361111112</v>
      </c>
      <c r="BE514" s="95">
        <f t="shared" si="289"/>
        <v>0.20277777777664596</v>
      </c>
      <c r="BF514" s="95">
        <v>2.7777777777777779E-3</v>
      </c>
      <c r="BG514" s="95">
        <v>4.6527777777777779E-2</v>
      </c>
      <c r="BH514" s="95">
        <f t="shared" si="290"/>
        <v>6.9444444452528842E-3</v>
      </c>
      <c r="BI514" s="95">
        <f t="shared" si="290"/>
        <v>0</v>
      </c>
      <c r="BJ514" s="95">
        <f t="shared" si="290"/>
        <v>0.19583333333139308</v>
      </c>
      <c r="BK514" s="95">
        <f t="shared" si="291"/>
        <v>0.19583333333139308</v>
      </c>
      <c r="BL514" s="95">
        <f t="shared" si="292"/>
        <v>0.14652777777583753</v>
      </c>
      <c r="BM514" s="95" t="str">
        <f t="shared" si="293"/>
        <v>00:00</v>
      </c>
      <c r="BN514" s="110"/>
    </row>
    <row r="515" spans="1:66" s="8" customFormat="1" ht="12.75" customHeight="1" x14ac:dyDescent="0.25">
      <c r="A515" s="150">
        <v>463</v>
      </c>
      <c r="B515" s="150">
        <v>33</v>
      </c>
      <c r="C515" s="90">
        <v>7</v>
      </c>
      <c r="D515" s="111" t="s">
        <v>148</v>
      </c>
      <c r="E515" s="210" t="s">
        <v>663</v>
      </c>
      <c r="F515" s="150" t="s">
        <v>16</v>
      </c>
      <c r="G515" s="150" t="s">
        <v>17</v>
      </c>
      <c r="H515" s="150" t="s">
        <v>150</v>
      </c>
      <c r="I515" s="150" t="s">
        <v>700</v>
      </c>
      <c r="J515" s="151">
        <v>45511</v>
      </c>
      <c r="K515" s="135" t="s">
        <v>122</v>
      </c>
      <c r="L515" s="135">
        <v>461000416</v>
      </c>
      <c r="M515" s="151">
        <v>45513</v>
      </c>
      <c r="N515" s="220">
        <v>45513.229166666664</v>
      </c>
      <c r="O515" s="220">
        <v>45513.229166666664</v>
      </c>
      <c r="P515" s="152">
        <v>45513.236111111109</v>
      </c>
      <c r="Q515" s="152">
        <v>45513.4375</v>
      </c>
      <c r="R515" s="220" t="s">
        <v>118</v>
      </c>
      <c r="S515" s="152" t="s">
        <v>118</v>
      </c>
      <c r="T515" s="152">
        <v>45513.479166666664</v>
      </c>
      <c r="U515" s="152">
        <v>45513.635416666664</v>
      </c>
      <c r="V515" s="219">
        <f t="shared" si="284"/>
        <v>0.20833333333575865</v>
      </c>
      <c r="W515" s="165">
        <v>0.20833333333333334</v>
      </c>
      <c r="X515" s="219">
        <f t="shared" si="285"/>
        <v>2.4253099528692701E-12</v>
      </c>
      <c r="Y515" s="96">
        <v>0</v>
      </c>
      <c r="Z515" s="96">
        <v>59</v>
      </c>
      <c r="AA515" s="96">
        <f t="shared" si="278"/>
        <v>59</v>
      </c>
      <c r="AB515" s="97">
        <f t="shared" si="279"/>
        <v>0</v>
      </c>
      <c r="AC515" s="97">
        <f t="shared" si="280"/>
        <v>4054.2199999999993</v>
      </c>
      <c r="AD515" s="98">
        <v>4054.22</v>
      </c>
      <c r="AE515" s="98">
        <v>4042.4</v>
      </c>
      <c r="AF515" s="98">
        <v>4074</v>
      </c>
      <c r="AG515" s="98">
        <f t="shared" si="281"/>
        <v>19.7800000000002</v>
      </c>
      <c r="AH515" s="99">
        <v>672.5</v>
      </c>
      <c r="AI515" s="100">
        <f t="shared" si="282"/>
        <v>2739765</v>
      </c>
      <c r="AJ515" s="100">
        <f t="shared" si="295"/>
        <v>0</v>
      </c>
      <c r="AK515" s="100">
        <v>0</v>
      </c>
      <c r="AL515" s="100">
        <v>24290</v>
      </c>
      <c r="AM515" s="100">
        <v>0</v>
      </c>
      <c r="AN515" s="100">
        <v>0</v>
      </c>
      <c r="AO515" s="100">
        <v>0</v>
      </c>
      <c r="AP515" s="100">
        <f t="shared" si="294"/>
        <v>138203</v>
      </c>
      <c r="AQ515" s="101">
        <f t="shared" si="286"/>
        <v>2902258</v>
      </c>
      <c r="AR515" s="101">
        <v>0</v>
      </c>
      <c r="AS515" s="101">
        <v>0</v>
      </c>
      <c r="AT515" s="102" t="s">
        <v>33</v>
      </c>
      <c r="AU515" s="109">
        <v>18</v>
      </c>
      <c r="AV515" s="222">
        <f>68.49-27.89</f>
        <v>40.599999999999994</v>
      </c>
      <c r="AW515" s="105">
        <v>0</v>
      </c>
      <c r="AX515" s="216">
        <f t="shared" si="287"/>
        <v>0.48551791850761411</v>
      </c>
      <c r="AY515" s="217">
        <f t="shared" si="288"/>
        <v>13303</v>
      </c>
      <c r="AZ515" s="107"/>
      <c r="BA515" s="94">
        <v>45513.229166666664</v>
      </c>
      <c r="BB515" s="94">
        <v>45513.236111111109</v>
      </c>
      <c r="BC515" s="94">
        <v>45513.236111111109</v>
      </c>
      <c r="BD515" s="94">
        <v>45513.445138888892</v>
      </c>
      <c r="BE515" s="95">
        <f t="shared" si="289"/>
        <v>0.21597222222771961</v>
      </c>
      <c r="BF515" s="95">
        <v>1.0416666666666666E-2</v>
      </c>
      <c r="BG515" s="95">
        <v>1.5972222222222221E-2</v>
      </c>
      <c r="BH515" s="95">
        <f t="shared" ref="BH515:BJ543" si="296">+BB515-BA515</f>
        <v>6.9444444452528842E-3</v>
      </c>
      <c r="BI515" s="95">
        <f t="shared" si="296"/>
        <v>0</v>
      </c>
      <c r="BJ515" s="95">
        <f t="shared" si="296"/>
        <v>0.20902777778246673</v>
      </c>
      <c r="BK515" s="95">
        <f t="shared" si="291"/>
        <v>0.20902777778246673</v>
      </c>
      <c r="BL515" s="95">
        <f t="shared" si="292"/>
        <v>0.18263888889357785</v>
      </c>
      <c r="BM515" s="95">
        <f t="shared" si="293"/>
        <v>7.6388888943862698E-3</v>
      </c>
      <c r="BN515" s="110"/>
    </row>
    <row r="516" spans="1:66" s="8" customFormat="1" ht="12.75" customHeight="1" x14ac:dyDescent="0.25">
      <c r="A516" s="150">
        <v>464</v>
      </c>
      <c r="B516" s="150">
        <v>34</v>
      </c>
      <c r="C516" s="90">
        <v>5</v>
      </c>
      <c r="D516" s="111" t="s">
        <v>113</v>
      </c>
      <c r="E516" s="210" t="s">
        <v>681</v>
      </c>
      <c r="F516" s="150" t="s">
        <v>27</v>
      </c>
      <c r="G516" s="150" t="s">
        <v>12</v>
      </c>
      <c r="H516" s="150" t="s">
        <v>115</v>
      </c>
      <c r="I516" s="150" t="s">
        <v>701</v>
      </c>
      <c r="J516" s="151">
        <v>45513</v>
      </c>
      <c r="K516" s="135" t="s">
        <v>117</v>
      </c>
      <c r="L516" s="135">
        <v>282001003</v>
      </c>
      <c r="M516" s="151">
        <v>45514</v>
      </c>
      <c r="N516" s="220">
        <v>45513.645833333336</v>
      </c>
      <c r="O516" s="220">
        <v>45513.645833333336</v>
      </c>
      <c r="P516" s="152">
        <v>45513.649305555555</v>
      </c>
      <c r="Q516" s="152">
        <v>45513.854166666664</v>
      </c>
      <c r="R516" s="220" t="s">
        <v>118</v>
      </c>
      <c r="S516" s="152">
        <v>45513.895833333336</v>
      </c>
      <c r="T516" s="152">
        <v>45513.923611111109</v>
      </c>
      <c r="U516" s="152">
        <v>45514.079861111109</v>
      </c>
      <c r="V516" s="219">
        <f t="shared" si="284"/>
        <v>0.20833333332848269</v>
      </c>
      <c r="W516" s="165">
        <v>0.20833333333333334</v>
      </c>
      <c r="X516" s="219" t="str">
        <f t="shared" si="285"/>
        <v>00:00</v>
      </c>
      <c r="Y516" s="96">
        <v>0</v>
      </c>
      <c r="Z516" s="96">
        <v>58</v>
      </c>
      <c r="AA516" s="96">
        <f t="shared" si="278"/>
        <v>58</v>
      </c>
      <c r="AB516" s="97">
        <f t="shared" si="279"/>
        <v>0</v>
      </c>
      <c r="AC516" s="97">
        <f t="shared" si="280"/>
        <v>3983.49</v>
      </c>
      <c r="AD516" s="98">
        <v>3983.49</v>
      </c>
      <c r="AE516" s="98">
        <v>3958.6</v>
      </c>
      <c r="AF516" s="98">
        <v>4002.2</v>
      </c>
      <c r="AG516" s="98">
        <f t="shared" si="281"/>
        <v>18.710000000000036</v>
      </c>
      <c r="AH516" s="99">
        <v>1586.7</v>
      </c>
      <c r="AI516" s="100">
        <f t="shared" si="282"/>
        <v>6350290.7400000002</v>
      </c>
      <c r="AJ516" s="100">
        <f t="shared" si="295"/>
        <v>0</v>
      </c>
      <c r="AK516" s="100">
        <v>0</v>
      </c>
      <c r="AL516" s="100">
        <v>48280</v>
      </c>
      <c r="AM516" s="100">
        <v>0</v>
      </c>
      <c r="AN516" s="100">
        <v>0</v>
      </c>
      <c r="AO516" s="100">
        <f>IFERROR(AF516*20+(((AJ516/AH516)/2)*20),0)</f>
        <v>80044</v>
      </c>
      <c r="AP516" s="100">
        <f t="shared" si="294"/>
        <v>323931</v>
      </c>
      <c r="AQ516" s="101">
        <f t="shared" si="286"/>
        <v>6802546</v>
      </c>
      <c r="AR516" s="101">
        <v>0</v>
      </c>
      <c r="AS516" s="101">
        <v>0</v>
      </c>
      <c r="AT516" s="102" t="s">
        <v>34</v>
      </c>
      <c r="AU516" s="109">
        <v>38</v>
      </c>
      <c r="AV516" s="222">
        <f>82.74-34.74</f>
        <v>47.999999999999993</v>
      </c>
      <c r="AW516" s="105">
        <v>1</v>
      </c>
      <c r="AX516" s="216">
        <f t="shared" si="287"/>
        <v>0.4674928789165968</v>
      </c>
      <c r="AY516" s="217">
        <f t="shared" si="288"/>
        <v>29688</v>
      </c>
      <c r="AZ516" s="107"/>
      <c r="BA516" s="94">
        <v>45513.645833333336</v>
      </c>
      <c r="BB516" s="94">
        <v>45513.649305555555</v>
      </c>
      <c r="BC516" s="94">
        <v>45513.649305555555</v>
      </c>
      <c r="BD516" s="94">
        <v>45513.884722222225</v>
      </c>
      <c r="BE516" s="95">
        <f t="shared" si="289"/>
        <v>0.23888888888905058</v>
      </c>
      <c r="BF516" s="95">
        <v>2.9166666666666667E-2</v>
      </c>
      <c r="BG516" s="95">
        <v>4.3055555555555555E-2</v>
      </c>
      <c r="BH516" s="95">
        <f t="shared" si="296"/>
        <v>3.4722222189884633E-3</v>
      </c>
      <c r="BI516" s="95">
        <f t="shared" si="296"/>
        <v>0</v>
      </c>
      <c r="BJ516" s="95">
        <f t="shared" si="296"/>
        <v>0.23541666667006211</v>
      </c>
      <c r="BK516" s="95">
        <f t="shared" si="291"/>
        <v>0.23541666667006211</v>
      </c>
      <c r="BL516" s="95">
        <f t="shared" si="292"/>
        <v>0.16319444444783987</v>
      </c>
      <c r="BM516" s="95">
        <f t="shared" si="293"/>
        <v>3.0555555555717234E-2</v>
      </c>
      <c r="BN516" s="110"/>
    </row>
    <row r="517" spans="1:66" s="8" customFormat="1" ht="12.75" customHeight="1" x14ac:dyDescent="0.25">
      <c r="A517" s="150">
        <v>465</v>
      </c>
      <c r="B517" s="150">
        <v>35</v>
      </c>
      <c r="C517" s="90">
        <v>8</v>
      </c>
      <c r="D517" s="111" t="s">
        <v>148</v>
      </c>
      <c r="E517" s="210" t="s">
        <v>663</v>
      </c>
      <c r="F517" s="150" t="s">
        <v>16</v>
      </c>
      <c r="G517" s="150" t="s">
        <v>17</v>
      </c>
      <c r="H517" s="150" t="s">
        <v>150</v>
      </c>
      <c r="I517" s="150" t="s">
        <v>702</v>
      </c>
      <c r="J517" s="151">
        <v>45511</v>
      </c>
      <c r="K517" s="135" t="s">
        <v>122</v>
      </c>
      <c r="L517" s="135">
        <v>461000417</v>
      </c>
      <c r="M517" s="151">
        <v>45514</v>
      </c>
      <c r="N517" s="220">
        <v>45513.854166666664</v>
      </c>
      <c r="O517" s="220">
        <v>45513.822916666664</v>
      </c>
      <c r="P517" s="152">
        <v>45513.861111111109</v>
      </c>
      <c r="Q517" s="152">
        <v>45513.993055555555</v>
      </c>
      <c r="R517" s="220">
        <v>45513.854166666664</v>
      </c>
      <c r="S517" s="152">
        <v>45514.1875</v>
      </c>
      <c r="T517" s="152">
        <v>45514.256944444445</v>
      </c>
      <c r="U517" s="152">
        <v>45514.368055555555</v>
      </c>
      <c r="V517" s="219">
        <f t="shared" si="284"/>
        <v>0.17013888889050577</v>
      </c>
      <c r="W517" s="165">
        <v>0.20833333333333334</v>
      </c>
      <c r="X517" s="219" t="str">
        <f t="shared" si="285"/>
        <v>00:00</v>
      </c>
      <c r="Y517" s="96">
        <v>0</v>
      </c>
      <c r="Z517" s="96">
        <v>59</v>
      </c>
      <c r="AA517" s="96">
        <f t="shared" si="278"/>
        <v>59</v>
      </c>
      <c r="AB517" s="97">
        <f t="shared" si="279"/>
        <v>0</v>
      </c>
      <c r="AC517" s="97">
        <f t="shared" si="280"/>
        <v>3897.22</v>
      </c>
      <c r="AD517" s="98">
        <v>3897.22</v>
      </c>
      <c r="AE517" s="98">
        <v>4036</v>
      </c>
      <c r="AF517" s="98">
        <v>4042</v>
      </c>
      <c r="AG517" s="98">
        <f t="shared" si="281"/>
        <v>144.7800000000002</v>
      </c>
      <c r="AH517" s="99">
        <v>672.5</v>
      </c>
      <c r="AI517" s="100">
        <f t="shared" si="282"/>
        <v>2718245</v>
      </c>
      <c r="AJ517" s="100">
        <f t="shared" si="295"/>
        <v>0</v>
      </c>
      <c r="AK517" s="100">
        <v>0</v>
      </c>
      <c r="AL517" s="100">
        <v>24290</v>
      </c>
      <c r="AM517" s="100">
        <v>0</v>
      </c>
      <c r="AN517" s="100">
        <v>0</v>
      </c>
      <c r="AO517" s="100">
        <v>0</v>
      </c>
      <c r="AP517" s="100">
        <f t="shared" si="294"/>
        <v>137127</v>
      </c>
      <c r="AQ517" s="101">
        <f t="shared" si="286"/>
        <v>2879662</v>
      </c>
      <c r="AR517" s="101">
        <v>0</v>
      </c>
      <c r="AS517" s="101">
        <v>0</v>
      </c>
      <c r="AT517" s="102" t="s">
        <v>33</v>
      </c>
      <c r="AU517" s="109">
        <v>2</v>
      </c>
      <c r="AV517" s="222">
        <f>8.87-5.37</f>
        <v>3.4999999999999991</v>
      </c>
      <c r="AW517" s="105">
        <v>3</v>
      </c>
      <c r="AX517" s="216">
        <f t="shared" si="287"/>
        <v>3.5818901533894159</v>
      </c>
      <c r="AY517" s="217">
        <f t="shared" si="288"/>
        <v>97365</v>
      </c>
      <c r="AZ517" s="107"/>
      <c r="BA517" s="94">
        <v>45513.854166666664</v>
      </c>
      <c r="BB517" s="94">
        <v>45513.861111111109</v>
      </c>
      <c r="BC517" s="94">
        <v>45513.913194444445</v>
      </c>
      <c r="BD517" s="94">
        <v>45514.19027777778</v>
      </c>
      <c r="BE517" s="95">
        <f t="shared" si="289"/>
        <v>0.336111111115315</v>
      </c>
      <c r="BF517" s="95">
        <v>8.4027777777777785E-2</v>
      </c>
      <c r="BG517" s="95">
        <v>3.0555555555555555E-2</v>
      </c>
      <c r="BH517" s="95">
        <f t="shared" si="296"/>
        <v>6.9444444452528842E-3</v>
      </c>
      <c r="BI517" s="95">
        <f t="shared" si="296"/>
        <v>5.2083333335758653E-2</v>
      </c>
      <c r="BJ517" s="95">
        <f t="shared" si="296"/>
        <v>0.27708333333430346</v>
      </c>
      <c r="BK517" s="95">
        <f t="shared" si="291"/>
        <v>0.32916666667006211</v>
      </c>
      <c r="BL517" s="95">
        <f t="shared" si="292"/>
        <v>0.21458333333672877</v>
      </c>
      <c r="BM517" s="95">
        <f t="shared" si="293"/>
        <v>0.12777777778198166</v>
      </c>
      <c r="BN517" s="110"/>
    </row>
    <row r="518" spans="1:66" s="8" customFormat="1" ht="12.75" customHeight="1" x14ac:dyDescent="0.25">
      <c r="A518" s="150">
        <v>466</v>
      </c>
      <c r="B518" s="150">
        <v>36</v>
      </c>
      <c r="C518" s="90">
        <v>11</v>
      </c>
      <c r="D518" s="111" t="s">
        <v>113</v>
      </c>
      <c r="E518" s="210" t="s">
        <v>596</v>
      </c>
      <c r="F518" s="150" t="s">
        <v>32</v>
      </c>
      <c r="G518" s="150" t="s">
        <v>15</v>
      </c>
      <c r="H518" s="150" t="s">
        <v>182</v>
      </c>
      <c r="I518" s="150" t="s">
        <v>703</v>
      </c>
      <c r="J518" s="151">
        <v>45513</v>
      </c>
      <c r="K518" s="135" t="s">
        <v>117</v>
      </c>
      <c r="L518" s="135">
        <v>261005901</v>
      </c>
      <c r="M518" s="151">
        <v>45514</v>
      </c>
      <c r="N518" s="220">
        <v>45514.114583333336</v>
      </c>
      <c r="O518" s="220">
        <v>45514.114583333336</v>
      </c>
      <c r="P518" s="152">
        <v>45514.118055555555</v>
      </c>
      <c r="Q518" s="152">
        <v>45514.322916666664</v>
      </c>
      <c r="R518" s="220" t="s">
        <v>118</v>
      </c>
      <c r="S518" s="152">
        <v>45514.447916666664</v>
      </c>
      <c r="T518" s="152">
        <v>45514.486111111109</v>
      </c>
      <c r="U518" s="152">
        <v>45514.580555555556</v>
      </c>
      <c r="V518" s="219">
        <f t="shared" si="284"/>
        <v>0.20833333332848269</v>
      </c>
      <c r="W518" s="165">
        <v>0.20833333333333334</v>
      </c>
      <c r="X518" s="219" t="str">
        <f t="shared" si="285"/>
        <v>00:00</v>
      </c>
      <c r="Y518" s="96">
        <v>0</v>
      </c>
      <c r="Z518" s="96">
        <v>56</v>
      </c>
      <c r="AA518" s="96">
        <f t="shared" si="278"/>
        <v>56</v>
      </c>
      <c r="AB518" s="97">
        <f t="shared" si="279"/>
        <v>0</v>
      </c>
      <c r="AC518" s="97">
        <f t="shared" si="280"/>
        <v>3753.5500000000006</v>
      </c>
      <c r="AD518" s="98">
        <v>3753.55</v>
      </c>
      <c r="AE518" s="98">
        <v>3839.2</v>
      </c>
      <c r="AF518" s="98">
        <v>3840.8</v>
      </c>
      <c r="AG518" s="98">
        <f t="shared" si="281"/>
        <v>87.25</v>
      </c>
      <c r="AH518" s="99">
        <v>1484</v>
      </c>
      <c r="AI518" s="100">
        <f t="shared" si="282"/>
        <v>5699747.2000000002</v>
      </c>
      <c r="AJ518" s="100">
        <f t="shared" si="295"/>
        <v>0</v>
      </c>
      <c r="AK518" s="100">
        <v>0</v>
      </c>
      <c r="AL518" s="100">
        <v>0</v>
      </c>
      <c r="AM518" s="100">
        <v>0</v>
      </c>
      <c r="AN518" s="100">
        <v>0</v>
      </c>
      <c r="AO518" s="100">
        <v>0</v>
      </c>
      <c r="AP518" s="100">
        <f t="shared" si="294"/>
        <v>284988</v>
      </c>
      <c r="AQ518" s="101">
        <f t="shared" si="286"/>
        <v>5984736</v>
      </c>
      <c r="AR518" s="101">
        <v>0</v>
      </c>
      <c r="AS518" s="101">
        <v>0</v>
      </c>
      <c r="AT518" s="102" t="s">
        <v>34</v>
      </c>
      <c r="AU518" s="109" t="s">
        <v>118</v>
      </c>
      <c r="AV518" s="222">
        <v>0</v>
      </c>
      <c r="AW518" s="105">
        <v>3</v>
      </c>
      <c r="AX518" s="216">
        <f t="shared" si="287"/>
        <v>2.2716621537179753</v>
      </c>
      <c r="AY518" s="217">
        <f t="shared" si="288"/>
        <v>129479</v>
      </c>
      <c r="AZ518" s="107"/>
      <c r="BA518" s="94">
        <v>45514.114583333336</v>
      </c>
      <c r="BB518" s="94">
        <v>45514.118055555555</v>
      </c>
      <c r="BC518" s="94">
        <v>45514.239583333336</v>
      </c>
      <c r="BD518" s="94">
        <v>45514.427083333336</v>
      </c>
      <c r="BE518" s="95">
        <f t="shared" si="289"/>
        <v>0.3125</v>
      </c>
      <c r="BF518" s="95">
        <v>3.0555555555555555E-2</v>
      </c>
      <c r="BG518" s="95">
        <v>0.15486111111111112</v>
      </c>
      <c r="BH518" s="95">
        <f t="shared" si="296"/>
        <v>3.4722222189884633E-3</v>
      </c>
      <c r="BI518" s="95">
        <f t="shared" si="296"/>
        <v>0.12152777778101154</v>
      </c>
      <c r="BJ518" s="95">
        <f t="shared" si="296"/>
        <v>0.1875</v>
      </c>
      <c r="BK518" s="95">
        <f t="shared" si="291"/>
        <v>0.30902777778101154</v>
      </c>
      <c r="BL518" s="95">
        <f t="shared" si="292"/>
        <v>0.12361111111434486</v>
      </c>
      <c r="BM518" s="95">
        <f t="shared" si="293"/>
        <v>0.10416666666666666</v>
      </c>
      <c r="BN518" s="110"/>
    </row>
    <row r="519" spans="1:66" s="8" customFormat="1" ht="12.75" customHeight="1" x14ac:dyDescent="0.25">
      <c r="A519" s="150">
        <v>467</v>
      </c>
      <c r="B519" s="150">
        <v>37</v>
      </c>
      <c r="C519" s="90">
        <v>9</v>
      </c>
      <c r="D519" s="111" t="s">
        <v>148</v>
      </c>
      <c r="E519" s="210" t="s">
        <v>663</v>
      </c>
      <c r="F519" s="150" t="s">
        <v>16</v>
      </c>
      <c r="G519" s="150" t="s">
        <v>17</v>
      </c>
      <c r="H519" s="150" t="s">
        <v>150</v>
      </c>
      <c r="I519" s="150" t="s">
        <v>704</v>
      </c>
      <c r="J519" s="151">
        <v>45511</v>
      </c>
      <c r="K519" s="135" t="s">
        <v>122</v>
      </c>
      <c r="L519" s="135">
        <v>461000418</v>
      </c>
      <c r="M519" s="151">
        <v>45514</v>
      </c>
      <c r="N519" s="220">
        <v>45514.375</v>
      </c>
      <c r="O519" s="220">
        <v>45514.375</v>
      </c>
      <c r="P519" s="152">
        <v>45514.378472222219</v>
      </c>
      <c r="Q519" s="152">
        <v>45514.583333333336</v>
      </c>
      <c r="R519" s="220" t="s">
        <v>118</v>
      </c>
      <c r="S519" s="152">
        <v>45514.625</v>
      </c>
      <c r="T519" s="152">
        <v>45514.649305555555</v>
      </c>
      <c r="U519" s="152">
        <v>45514.791666666664</v>
      </c>
      <c r="V519" s="219">
        <f t="shared" si="284"/>
        <v>0.20833333333575865</v>
      </c>
      <c r="W519" s="165">
        <v>0.20833333333333334</v>
      </c>
      <c r="X519" s="219">
        <f t="shared" si="285"/>
        <v>2.4253099528692701E-12</v>
      </c>
      <c r="Y519" s="96">
        <v>0</v>
      </c>
      <c r="Z519" s="96">
        <v>58</v>
      </c>
      <c r="AA519" s="96">
        <f t="shared" si="278"/>
        <v>58</v>
      </c>
      <c r="AB519" s="97">
        <f t="shared" si="279"/>
        <v>0</v>
      </c>
      <c r="AC519" s="97">
        <f t="shared" si="280"/>
        <v>3975.5700000000006</v>
      </c>
      <c r="AD519" s="98">
        <v>3975.57</v>
      </c>
      <c r="AE519" s="98">
        <v>3969.3</v>
      </c>
      <c r="AF519" s="98">
        <v>4001</v>
      </c>
      <c r="AG519" s="98">
        <f t="shared" si="281"/>
        <v>25.429999999999836</v>
      </c>
      <c r="AH519" s="99">
        <v>672.5</v>
      </c>
      <c r="AI519" s="100">
        <f t="shared" si="282"/>
        <v>2690672.5</v>
      </c>
      <c r="AJ519" s="100">
        <f t="shared" si="295"/>
        <v>0</v>
      </c>
      <c r="AK519" s="100">
        <v>0</v>
      </c>
      <c r="AL519" s="100">
        <v>24140</v>
      </c>
      <c r="AM519" s="100">
        <v>0</v>
      </c>
      <c r="AN519" s="100">
        <v>0</v>
      </c>
      <c r="AO519" s="100">
        <v>0</v>
      </c>
      <c r="AP519" s="100">
        <f t="shared" si="294"/>
        <v>135741</v>
      </c>
      <c r="AQ519" s="101">
        <f t="shared" si="286"/>
        <v>2850554</v>
      </c>
      <c r="AR519" s="101">
        <v>0</v>
      </c>
      <c r="AS519" s="101">
        <v>0</v>
      </c>
      <c r="AT519" s="102" t="s">
        <v>34</v>
      </c>
      <c r="AU519" s="109">
        <v>22</v>
      </c>
      <c r="AV519" s="222">
        <f>49.02-26.02</f>
        <v>23.000000000000004</v>
      </c>
      <c r="AW519" s="105">
        <v>1</v>
      </c>
      <c r="AX519" s="216">
        <f t="shared" si="287"/>
        <v>0.63559110222443982</v>
      </c>
      <c r="AY519" s="217">
        <f t="shared" si="288"/>
        <v>17102</v>
      </c>
      <c r="AZ519" s="107"/>
      <c r="BA519" s="94">
        <v>45514.375</v>
      </c>
      <c r="BB519" s="94">
        <v>45514.378472222219</v>
      </c>
      <c r="BC519" s="94">
        <v>45514.472222222219</v>
      </c>
      <c r="BD519" s="94">
        <v>45514.633333333331</v>
      </c>
      <c r="BE519" s="95">
        <f t="shared" si="289"/>
        <v>0.25833333333139308</v>
      </c>
      <c r="BF519" s="95">
        <v>5.0694444444444445E-2</v>
      </c>
      <c r="BG519" s="95">
        <v>6.5972222222222224E-2</v>
      </c>
      <c r="BH519" s="95">
        <f t="shared" si="296"/>
        <v>3.4722222189884633E-3</v>
      </c>
      <c r="BI519" s="95">
        <f t="shared" si="296"/>
        <v>9.375E-2</v>
      </c>
      <c r="BJ519" s="95">
        <f t="shared" si="296"/>
        <v>0.16111111111240461</v>
      </c>
      <c r="BK519" s="95">
        <f t="shared" si="291"/>
        <v>0.25486111111240461</v>
      </c>
      <c r="BL519" s="95">
        <f t="shared" si="292"/>
        <v>0.13819444444573797</v>
      </c>
      <c r="BM519" s="95">
        <f t="shared" si="293"/>
        <v>4.9999999998059735E-2</v>
      </c>
      <c r="BN519" s="110"/>
    </row>
    <row r="520" spans="1:66" s="8" customFormat="1" ht="12.75" customHeight="1" x14ac:dyDescent="0.25">
      <c r="A520" s="150">
        <v>468</v>
      </c>
      <c r="B520" s="150">
        <v>38</v>
      </c>
      <c r="C520" s="90">
        <v>6</v>
      </c>
      <c r="D520" s="111" t="s">
        <v>113</v>
      </c>
      <c r="E520" s="210" t="s">
        <v>681</v>
      </c>
      <c r="F520" s="150" t="s">
        <v>27</v>
      </c>
      <c r="G520" s="150" t="s">
        <v>12</v>
      </c>
      <c r="H520" s="150" t="s">
        <v>115</v>
      </c>
      <c r="I520" s="150" t="s">
        <v>705</v>
      </c>
      <c r="J520" s="151">
        <v>45514</v>
      </c>
      <c r="K520" s="135" t="s">
        <v>117</v>
      </c>
      <c r="L520" s="135">
        <v>282001004</v>
      </c>
      <c r="M520" s="151">
        <v>45515</v>
      </c>
      <c r="N520" s="220">
        <v>45514.666666666664</v>
      </c>
      <c r="O520" s="220">
        <v>45514.666666666664</v>
      </c>
      <c r="P520" s="152">
        <v>45514.6875</v>
      </c>
      <c r="Q520" s="152">
        <v>45514.875</v>
      </c>
      <c r="R520" s="220" t="s">
        <v>118</v>
      </c>
      <c r="S520" s="152" t="s">
        <v>118</v>
      </c>
      <c r="T520" s="152">
        <v>45514.9375</v>
      </c>
      <c r="U520" s="152">
        <v>45515.057638888888</v>
      </c>
      <c r="V520" s="219">
        <f t="shared" si="284"/>
        <v>0.20833333333575865</v>
      </c>
      <c r="W520" s="165">
        <v>0.20833333333333334</v>
      </c>
      <c r="X520" s="219">
        <f t="shared" si="285"/>
        <v>2.4253099528692701E-12</v>
      </c>
      <c r="Y520" s="96">
        <v>0</v>
      </c>
      <c r="Z520" s="96">
        <v>58</v>
      </c>
      <c r="AA520" s="96">
        <f t="shared" si="278"/>
        <v>58</v>
      </c>
      <c r="AB520" s="97">
        <f t="shared" si="279"/>
        <v>0</v>
      </c>
      <c r="AC520" s="97">
        <f t="shared" si="280"/>
        <v>3953.84</v>
      </c>
      <c r="AD520" s="98">
        <v>3953.84</v>
      </c>
      <c r="AE520" s="98">
        <v>3983.8</v>
      </c>
      <c r="AF520" s="98">
        <v>3997.2</v>
      </c>
      <c r="AG520" s="98">
        <f t="shared" si="281"/>
        <v>43.359999999999673</v>
      </c>
      <c r="AH520" s="99">
        <v>1586.7</v>
      </c>
      <c r="AI520" s="100">
        <f t="shared" si="282"/>
        <v>6342357.2400000002</v>
      </c>
      <c r="AJ520" s="100">
        <f>(0.6*AH520)*2</f>
        <v>1904.04</v>
      </c>
      <c r="AK520" s="100">
        <v>0</v>
      </c>
      <c r="AL520" s="100">
        <v>0</v>
      </c>
      <c r="AM520" s="100">
        <v>0</v>
      </c>
      <c r="AN520" s="100">
        <v>0</v>
      </c>
      <c r="AO520" s="100">
        <f>IFERROR(AF520*20+(((AJ520/AH520)/2)*20),0)</f>
        <v>79956</v>
      </c>
      <c r="AP520" s="100">
        <f t="shared" si="294"/>
        <v>321211</v>
      </c>
      <c r="AQ520" s="101">
        <f t="shared" si="286"/>
        <v>6745429</v>
      </c>
      <c r="AR520" s="101">
        <v>0</v>
      </c>
      <c r="AS520" s="101">
        <v>0</v>
      </c>
      <c r="AT520" s="102" t="s">
        <v>34</v>
      </c>
      <c r="AU520" s="109" t="s">
        <v>118</v>
      </c>
      <c r="AV520" s="222">
        <v>0</v>
      </c>
      <c r="AW520" s="105">
        <v>0</v>
      </c>
      <c r="AX520" s="216">
        <f t="shared" si="287"/>
        <v>1.0847593315320643</v>
      </c>
      <c r="AY520" s="217">
        <f t="shared" si="288"/>
        <v>68800</v>
      </c>
      <c r="AZ520" s="107"/>
      <c r="BA520" s="94">
        <v>45514.666666666664</v>
      </c>
      <c r="BB520" s="94">
        <v>45514.708333333336</v>
      </c>
      <c r="BC520" s="94">
        <v>45514.715277777781</v>
      </c>
      <c r="BD520" s="94">
        <v>45514.886805555558</v>
      </c>
      <c r="BE520" s="95">
        <f t="shared" si="289"/>
        <v>0.22013888889341615</v>
      </c>
      <c r="BF520" s="95">
        <v>0</v>
      </c>
      <c r="BG520" s="95">
        <v>3.4722222222222224E-2</v>
      </c>
      <c r="BH520" s="95">
        <f t="shared" si="296"/>
        <v>4.1666666671517305E-2</v>
      </c>
      <c r="BI520" s="95">
        <f t="shared" si="296"/>
        <v>6.9444444452528842E-3</v>
      </c>
      <c r="BJ520" s="95">
        <f t="shared" si="296"/>
        <v>0.17152777777664596</v>
      </c>
      <c r="BK520" s="95">
        <f t="shared" si="291"/>
        <v>0.17847222222189885</v>
      </c>
      <c r="BL520" s="95">
        <f t="shared" si="292"/>
        <v>0.14374999999967664</v>
      </c>
      <c r="BM520" s="95">
        <f t="shared" si="293"/>
        <v>1.1805555560082809E-2</v>
      </c>
      <c r="BN520" s="110"/>
    </row>
    <row r="521" spans="1:66" s="8" customFormat="1" ht="12.75" customHeight="1" x14ac:dyDescent="0.25">
      <c r="A521" s="150">
        <v>469</v>
      </c>
      <c r="B521" s="150">
        <v>39</v>
      </c>
      <c r="C521" s="90">
        <v>10</v>
      </c>
      <c r="D521" s="111" t="s">
        <v>148</v>
      </c>
      <c r="E521" s="210" t="s">
        <v>663</v>
      </c>
      <c r="F521" s="150" t="s">
        <v>16</v>
      </c>
      <c r="G521" s="150" t="s">
        <v>17</v>
      </c>
      <c r="H521" s="150" t="s">
        <v>150</v>
      </c>
      <c r="I521" s="150" t="s">
        <v>706</v>
      </c>
      <c r="J521" s="151">
        <v>45511</v>
      </c>
      <c r="K521" s="135" t="s">
        <v>122</v>
      </c>
      <c r="L521" s="135">
        <v>461000419</v>
      </c>
      <c r="M521" s="151">
        <v>45515</v>
      </c>
      <c r="N521" s="220">
        <v>45514.822916666664</v>
      </c>
      <c r="O521" s="220">
        <v>45514.822916666664</v>
      </c>
      <c r="P521" s="152">
        <v>45514.826388888891</v>
      </c>
      <c r="Q521" s="152">
        <v>45514.989583333336</v>
      </c>
      <c r="R521" s="220" t="s">
        <v>118</v>
      </c>
      <c r="S521" s="152">
        <v>45515.114583333336</v>
      </c>
      <c r="T521" s="152">
        <v>45515.173611111109</v>
      </c>
      <c r="U521" s="152">
        <v>45515.322916666664</v>
      </c>
      <c r="V521" s="219">
        <f t="shared" si="284"/>
        <v>0.16666666667151731</v>
      </c>
      <c r="W521" s="165">
        <v>0.20833333333333334</v>
      </c>
      <c r="X521" s="219" t="str">
        <f t="shared" si="285"/>
        <v>00:00</v>
      </c>
      <c r="Y521" s="96">
        <v>0</v>
      </c>
      <c r="Z521" s="96">
        <v>58</v>
      </c>
      <c r="AA521" s="96">
        <f t="shared" si="278"/>
        <v>58</v>
      </c>
      <c r="AB521" s="97">
        <f t="shared" si="279"/>
        <v>0</v>
      </c>
      <c r="AC521" s="97">
        <f t="shared" si="280"/>
        <v>4023.5399999999995</v>
      </c>
      <c r="AD521" s="98">
        <v>4023.54</v>
      </c>
      <c r="AE521" s="98">
        <v>3998</v>
      </c>
      <c r="AF521" s="98">
        <v>4033.4</v>
      </c>
      <c r="AG521" s="98">
        <f t="shared" si="281"/>
        <v>9.8600000000001273</v>
      </c>
      <c r="AH521" s="99">
        <v>672.5</v>
      </c>
      <c r="AI521" s="100">
        <f t="shared" si="282"/>
        <v>2712461.5</v>
      </c>
      <c r="AJ521" s="100">
        <f>(0*AH521)*2</f>
        <v>0</v>
      </c>
      <c r="AK521" s="100">
        <v>0</v>
      </c>
      <c r="AL521" s="100">
        <v>24140</v>
      </c>
      <c r="AM521" s="100">
        <v>0</v>
      </c>
      <c r="AN521" s="100">
        <v>0</v>
      </c>
      <c r="AO521" s="100">
        <v>0</v>
      </c>
      <c r="AP521" s="100">
        <f t="shared" ref="AP521:AP542" si="297">ROUNDUP(SUM(AI521:AO521)*5%,0)</f>
        <v>136831</v>
      </c>
      <c r="AQ521" s="101">
        <f t="shared" si="286"/>
        <v>2873433</v>
      </c>
      <c r="AR521" s="101">
        <v>0</v>
      </c>
      <c r="AS521" s="101">
        <v>0</v>
      </c>
      <c r="AT521" s="102" t="s">
        <v>34</v>
      </c>
      <c r="AU521" s="109">
        <v>19</v>
      </c>
      <c r="AV521" s="222">
        <f>53.54+32.54</f>
        <v>86.08</v>
      </c>
      <c r="AW521" s="105">
        <v>2</v>
      </c>
      <c r="AX521" s="216">
        <f t="shared" si="287"/>
        <v>0.24445876927654403</v>
      </c>
      <c r="AY521" s="217">
        <f t="shared" si="288"/>
        <v>6631</v>
      </c>
      <c r="AZ521" s="107"/>
      <c r="BA521" s="94">
        <v>45514.822916666664</v>
      </c>
      <c r="BB521" s="94">
        <v>45514.826388888891</v>
      </c>
      <c r="BC521" s="94">
        <v>45514.905555555553</v>
      </c>
      <c r="BD521" s="94">
        <v>45515.113888888889</v>
      </c>
      <c r="BE521" s="95">
        <f t="shared" si="289"/>
        <v>0.29097222222480923</v>
      </c>
      <c r="BF521" s="95">
        <v>5.1388888888888887E-2</v>
      </c>
      <c r="BG521" s="95">
        <v>6.5277777777777782E-2</v>
      </c>
      <c r="BH521" s="95">
        <f t="shared" si="296"/>
        <v>3.4722222262644209E-3</v>
      </c>
      <c r="BI521" s="95">
        <f t="shared" si="296"/>
        <v>7.9166666662786156E-2</v>
      </c>
      <c r="BJ521" s="95">
        <f t="shared" si="296"/>
        <v>0.20833333333575865</v>
      </c>
      <c r="BK521" s="95">
        <f t="shared" si="291"/>
        <v>0.28749999999854481</v>
      </c>
      <c r="BL521" s="95">
        <f t="shared" si="292"/>
        <v>0.17083333333187817</v>
      </c>
      <c r="BM521" s="95">
        <f t="shared" si="293"/>
        <v>8.2638888891475887E-2</v>
      </c>
      <c r="BN521" s="110"/>
    </row>
    <row r="522" spans="1:66" s="8" customFormat="1" ht="12.75" customHeight="1" x14ac:dyDescent="0.25">
      <c r="A522" s="150">
        <v>470</v>
      </c>
      <c r="B522" s="150">
        <v>40</v>
      </c>
      <c r="C522" s="90">
        <v>11</v>
      </c>
      <c r="D522" s="111" t="s">
        <v>148</v>
      </c>
      <c r="E522" s="210" t="s">
        <v>663</v>
      </c>
      <c r="F522" s="150" t="s">
        <v>16</v>
      </c>
      <c r="G522" s="150" t="s">
        <v>17</v>
      </c>
      <c r="H522" s="150" t="s">
        <v>150</v>
      </c>
      <c r="I522" s="150" t="s">
        <v>707</v>
      </c>
      <c r="J522" s="151">
        <v>45513</v>
      </c>
      <c r="K522" s="135" t="s">
        <v>117</v>
      </c>
      <c r="L522" s="135">
        <v>461000420</v>
      </c>
      <c r="M522" s="151">
        <v>45515</v>
      </c>
      <c r="N522" s="220">
        <v>45515.145833333336</v>
      </c>
      <c r="O522" s="220">
        <v>45515.125</v>
      </c>
      <c r="P522" s="152">
        <v>45515.152777777781</v>
      </c>
      <c r="Q522" s="152">
        <v>45515.333333333336</v>
      </c>
      <c r="R522" s="220">
        <v>45515.145833333336</v>
      </c>
      <c r="S522" s="152" t="s">
        <v>118</v>
      </c>
      <c r="T522" s="152">
        <v>45515.375</v>
      </c>
      <c r="U522" s="152">
        <v>45515.48541666667</v>
      </c>
      <c r="V522" s="219">
        <f t="shared" si="284"/>
        <v>0.20833333333575865</v>
      </c>
      <c r="W522" s="165">
        <v>0.20833333333333334</v>
      </c>
      <c r="X522" s="219">
        <f t="shared" si="285"/>
        <v>2.4253099528692701E-12</v>
      </c>
      <c r="Y522" s="96">
        <v>12</v>
      </c>
      <c r="Z522" s="96">
        <v>47</v>
      </c>
      <c r="AA522" s="96">
        <f t="shared" si="278"/>
        <v>59</v>
      </c>
      <c r="AB522" s="97">
        <f t="shared" si="279"/>
        <v>813.58779661016945</v>
      </c>
      <c r="AC522" s="97">
        <f t="shared" si="280"/>
        <v>3186.5522033898305</v>
      </c>
      <c r="AD522" s="98">
        <v>4000.14</v>
      </c>
      <c r="AE522" s="98">
        <v>4039.8</v>
      </c>
      <c r="AF522" s="98">
        <v>4051.2</v>
      </c>
      <c r="AG522" s="98">
        <f t="shared" si="281"/>
        <v>51.059999999999945</v>
      </c>
      <c r="AH522" s="99">
        <v>672.5</v>
      </c>
      <c r="AI522" s="100">
        <f t="shared" si="282"/>
        <v>2724432</v>
      </c>
      <c r="AJ522" s="100">
        <f>(1.6*AH522)*2</f>
        <v>2152</v>
      </c>
      <c r="AK522" s="100">
        <v>0</v>
      </c>
      <c r="AL522" s="100">
        <v>0</v>
      </c>
      <c r="AM522" s="100">
        <v>0</v>
      </c>
      <c r="AN522" s="100">
        <v>0</v>
      </c>
      <c r="AO522" s="100">
        <v>0</v>
      </c>
      <c r="AP522" s="100">
        <f t="shared" si="297"/>
        <v>136330</v>
      </c>
      <c r="AQ522" s="101">
        <f t="shared" si="286"/>
        <v>2862914</v>
      </c>
      <c r="AR522" s="101">
        <v>0</v>
      </c>
      <c r="AS522" s="101">
        <v>0</v>
      </c>
      <c r="AT522" s="102" t="s">
        <v>33</v>
      </c>
      <c r="AU522" s="109" t="s">
        <v>118</v>
      </c>
      <c r="AV522" s="222">
        <v>0</v>
      </c>
      <c r="AW522" s="105">
        <v>0</v>
      </c>
      <c r="AX522" s="216">
        <f t="shared" si="287"/>
        <v>1.2603672985781977</v>
      </c>
      <c r="AY522" s="217">
        <f t="shared" si="288"/>
        <v>34338</v>
      </c>
      <c r="AZ522" s="107"/>
      <c r="BA522" s="94">
        <v>45515.145833333336</v>
      </c>
      <c r="BB522" s="94">
        <v>45515.152777777781</v>
      </c>
      <c r="BC522" s="94">
        <v>45515.152777777781</v>
      </c>
      <c r="BD522" s="94">
        <v>45515.350694444445</v>
      </c>
      <c r="BE522" s="95">
        <f t="shared" si="289"/>
        <v>0.20486111110949423</v>
      </c>
      <c r="BF522" s="95">
        <v>4.2361111111111113E-2</v>
      </c>
      <c r="BG522" s="95">
        <v>5.5555555555555558E-3</v>
      </c>
      <c r="BH522" s="95">
        <f t="shared" si="296"/>
        <v>6.9444444452528842E-3</v>
      </c>
      <c r="BI522" s="95">
        <f t="shared" si="296"/>
        <v>0</v>
      </c>
      <c r="BJ522" s="95">
        <f t="shared" si="296"/>
        <v>0.19791666666424135</v>
      </c>
      <c r="BK522" s="95">
        <f t="shared" si="291"/>
        <v>0.19791666666424135</v>
      </c>
      <c r="BL522" s="95">
        <f t="shared" si="292"/>
        <v>0.14999999999757466</v>
      </c>
      <c r="BM522" s="95" t="str">
        <f t="shared" si="293"/>
        <v>00:00</v>
      </c>
      <c r="BN522" s="110"/>
    </row>
    <row r="523" spans="1:66" s="8" customFormat="1" ht="12.75" customHeight="1" x14ac:dyDescent="0.25">
      <c r="A523" s="150">
        <v>471</v>
      </c>
      <c r="B523" s="150">
        <v>41</v>
      </c>
      <c r="C523" s="90">
        <v>12</v>
      </c>
      <c r="D523" s="111" t="s">
        <v>148</v>
      </c>
      <c r="E523" s="210" t="s">
        <v>663</v>
      </c>
      <c r="F523" s="150" t="s">
        <v>16</v>
      </c>
      <c r="G523" s="150" t="s">
        <v>17</v>
      </c>
      <c r="H523" s="150" t="s">
        <v>150</v>
      </c>
      <c r="I523" s="150" t="s">
        <v>708</v>
      </c>
      <c r="J523" s="151">
        <v>45513</v>
      </c>
      <c r="K523" s="135" t="s">
        <v>122</v>
      </c>
      <c r="L523" s="135">
        <v>441000010</v>
      </c>
      <c r="M523" s="151">
        <v>45515</v>
      </c>
      <c r="N523" s="220">
        <v>45515.375</v>
      </c>
      <c r="O523" s="220">
        <v>45515.375</v>
      </c>
      <c r="P523" s="152">
        <v>45515.378472222219</v>
      </c>
      <c r="Q523" s="152">
        <v>45515.583333333336</v>
      </c>
      <c r="R523" s="220" t="s">
        <v>118</v>
      </c>
      <c r="S523" s="152" t="s">
        <v>118</v>
      </c>
      <c r="T523" s="152">
        <v>45515.625</v>
      </c>
      <c r="U523" s="152">
        <v>45515.69027777778</v>
      </c>
      <c r="V523" s="219">
        <f t="shared" si="284"/>
        <v>0.20833333333575865</v>
      </c>
      <c r="W523" s="165">
        <v>0.20833333333333334</v>
      </c>
      <c r="X523" s="219">
        <f t="shared" si="285"/>
        <v>2.4253099528692701E-12</v>
      </c>
      <c r="Y523" s="96">
        <v>0</v>
      </c>
      <c r="Z523" s="96">
        <v>58</v>
      </c>
      <c r="AA523" s="96">
        <f t="shared" si="278"/>
        <v>58</v>
      </c>
      <c r="AB523" s="97">
        <f t="shared" si="279"/>
        <v>0</v>
      </c>
      <c r="AC523" s="97">
        <f t="shared" si="280"/>
        <v>3934.17</v>
      </c>
      <c r="AD523" s="98">
        <v>3934.17</v>
      </c>
      <c r="AE523" s="98">
        <v>3970.5</v>
      </c>
      <c r="AF523" s="98">
        <v>3980.2</v>
      </c>
      <c r="AG523" s="98">
        <f t="shared" si="281"/>
        <v>46.029999999999745</v>
      </c>
      <c r="AH523" s="99">
        <v>672.5</v>
      </c>
      <c r="AI523" s="100">
        <f t="shared" si="282"/>
        <v>2676684.5</v>
      </c>
      <c r="AJ523" s="100">
        <f>(2.2*AH523)*2</f>
        <v>2959.0000000000005</v>
      </c>
      <c r="AK523" s="100">
        <v>0</v>
      </c>
      <c r="AL523" s="100">
        <v>0</v>
      </c>
      <c r="AM523" s="100">
        <v>0</v>
      </c>
      <c r="AN523" s="100">
        <v>0</v>
      </c>
      <c r="AO523" s="100">
        <v>0</v>
      </c>
      <c r="AP523" s="100">
        <f t="shared" si="297"/>
        <v>133983</v>
      </c>
      <c r="AQ523" s="101">
        <f t="shared" si="286"/>
        <v>2813627</v>
      </c>
      <c r="AR523" s="101">
        <v>0</v>
      </c>
      <c r="AS523" s="101">
        <v>0</v>
      </c>
      <c r="AT523" s="102" t="s">
        <v>34</v>
      </c>
      <c r="AU523" s="109" t="s">
        <v>118</v>
      </c>
      <c r="AV523" s="222">
        <v>0</v>
      </c>
      <c r="AW523" s="105">
        <v>0</v>
      </c>
      <c r="AX523" s="216">
        <f t="shared" si="287"/>
        <v>1.1564745490176309</v>
      </c>
      <c r="AY523" s="217">
        <f t="shared" si="288"/>
        <v>30956</v>
      </c>
      <c r="AZ523" s="107"/>
      <c r="BA523" s="94">
        <v>45515.375</v>
      </c>
      <c r="BB523" s="94">
        <v>45515.378472222219</v>
      </c>
      <c r="BC523" s="94">
        <v>45515.388888888891</v>
      </c>
      <c r="BD523" s="94">
        <v>45515.603472222225</v>
      </c>
      <c r="BE523" s="95">
        <f t="shared" si="289"/>
        <v>0.22847222222480923</v>
      </c>
      <c r="BF523" s="95">
        <v>5.486111111111111E-2</v>
      </c>
      <c r="BG523" s="95">
        <v>3.472222222222222E-3</v>
      </c>
      <c r="BH523" s="95">
        <f t="shared" si="296"/>
        <v>3.4722222189884633E-3</v>
      </c>
      <c r="BI523" s="95">
        <f t="shared" si="296"/>
        <v>1.0416666671517305E-2</v>
      </c>
      <c r="BJ523" s="95">
        <f t="shared" si="296"/>
        <v>0.21458333333430346</v>
      </c>
      <c r="BK523" s="95">
        <f t="shared" si="291"/>
        <v>0.22500000000582077</v>
      </c>
      <c r="BL523" s="95">
        <f t="shared" si="292"/>
        <v>0.16666666667248745</v>
      </c>
      <c r="BM523" s="95">
        <f t="shared" si="293"/>
        <v>2.0138888891475887E-2</v>
      </c>
      <c r="BN523" s="110"/>
    </row>
    <row r="524" spans="1:66" s="8" customFormat="1" ht="12.75" customHeight="1" x14ac:dyDescent="0.25">
      <c r="A524" s="150">
        <v>472</v>
      </c>
      <c r="B524" s="150">
        <v>42</v>
      </c>
      <c r="C524" s="90">
        <v>13</v>
      </c>
      <c r="D524" s="111" t="s">
        <v>113</v>
      </c>
      <c r="E524" s="210" t="s">
        <v>530</v>
      </c>
      <c r="F524" s="150" t="s">
        <v>29</v>
      </c>
      <c r="G524" s="150" t="s">
        <v>15</v>
      </c>
      <c r="H524" s="150" t="s">
        <v>124</v>
      </c>
      <c r="I524" s="150" t="s">
        <v>709</v>
      </c>
      <c r="J524" s="151">
        <v>45515</v>
      </c>
      <c r="K524" s="135" t="s">
        <v>117</v>
      </c>
      <c r="L524" s="135">
        <v>461000421</v>
      </c>
      <c r="M524" s="151">
        <v>45516</v>
      </c>
      <c r="N524" s="220">
        <v>45515.59375</v>
      </c>
      <c r="O524" s="220">
        <v>45515.59375</v>
      </c>
      <c r="P524" s="152">
        <v>45515.597222222219</v>
      </c>
      <c r="Q524" s="152">
        <v>45515.802083333336</v>
      </c>
      <c r="R524" s="220" t="s">
        <v>118</v>
      </c>
      <c r="S524" s="152">
        <v>45515.864583333336</v>
      </c>
      <c r="T524" s="152">
        <v>45515.916666666664</v>
      </c>
      <c r="U524" s="152">
        <v>45516.012499999997</v>
      </c>
      <c r="V524" s="219">
        <f t="shared" si="284"/>
        <v>0.20833333333575865</v>
      </c>
      <c r="W524" s="165">
        <v>0.20833333333333334</v>
      </c>
      <c r="X524" s="219">
        <f t="shared" si="285"/>
        <v>2.4253099528692701E-12</v>
      </c>
      <c r="Y524" s="96">
        <v>4</v>
      </c>
      <c r="Z524" s="96">
        <v>55</v>
      </c>
      <c r="AA524" s="96">
        <f t="shared" si="278"/>
        <v>59</v>
      </c>
      <c r="AB524" s="97">
        <f t="shared" si="279"/>
        <v>270.00881355932205</v>
      </c>
      <c r="AC524" s="97">
        <f t="shared" si="280"/>
        <v>3712.6211864406782</v>
      </c>
      <c r="AD524" s="98">
        <v>3982.63</v>
      </c>
      <c r="AE524" s="98">
        <v>4051.8</v>
      </c>
      <c r="AF524" s="98">
        <v>4058.6</v>
      </c>
      <c r="AG524" s="98">
        <f t="shared" si="281"/>
        <v>75.9699999999998</v>
      </c>
      <c r="AH524" s="99">
        <v>797.2</v>
      </c>
      <c r="AI524" s="100">
        <f t="shared" si="282"/>
        <v>3235515.92</v>
      </c>
      <c r="AJ524" s="100">
        <f>(0*AH524)*2</f>
        <v>0</v>
      </c>
      <c r="AK524" s="100">
        <v>0</v>
      </c>
      <c r="AL524" s="100">
        <v>0</v>
      </c>
      <c r="AM524" s="100">
        <v>0</v>
      </c>
      <c r="AN524" s="100">
        <v>0</v>
      </c>
      <c r="AO524" s="100">
        <v>0</v>
      </c>
      <c r="AP524" s="100">
        <f t="shared" si="297"/>
        <v>161776</v>
      </c>
      <c r="AQ524" s="101">
        <f t="shared" si="286"/>
        <v>3397292</v>
      </c>
      <c r="AR524" s="101">
        <v>0</v>
      </c>
      <c r="AS524" s="101">
        <v>0</v>
      </c>
      <c r="AT524" s="102" t="s">
        <v>34</v>
      </c>
      <c r="AU524" s="109" t="s">
        <v>118</v>
      </c>
      <c r="AV524" s="222">
        <v>0</v>
      </c>
      <c r="AW524" s="105">
        <v>2</v>
      </c>
      <c r="AX524" s="216">
        <f t="shared" si="287"/>
        <v>1.8718277238456562</v>
      </c>
      <c r="AY524" s="217">
        <f t="shared" si="288"/>
        <v>60564</v>
      </c>
      <c r="AZ524" s="107"/>
      <c r="BA524" s="94">
        <v>45515.59375</v>
      </c>
      <c r="BB524" s="94">
        <v>45515.597222222219</v>
      </c>
      <c r="BC524" s="94">
        <v>45515.666666666664</v>
      </c>
      <c r="BD524" s="94">
        <v>45515.854861111111</v>
      </c>
      <c r="BE524" s="95">
        <f t="shared" si="289"/>
        <v>0.26111111111094942</v>
      </c>
      <c r="BF524" s="95">
        <v>3.2638888888888891E-2</v>
      </c>
      <c r="BG524" s="95">
        <v>0.11180555555555556</v>
      </c>
      <c r="BH524" s="95">
        <f t="shared" si="296"/>
        <v>3.4722222189884633E-3</v>
      </c>
      <c r="BI524" s="95">
        <f t="shared" si="296"/>
        <v>6.9444444445252884E-2</v>
      </c>
      <c r="BJ524" s="95">
        <f t="shared" si="296"/>
        <v>0.18819444444670808</v>
      </c>
      <c r="BK524" s="95">
        <f t="shared" si="291"/>
        <v>0.25763888889196096</v>
      </c>
      <c r="BL524" s="95">
        <f t="shared" si="292"/>
        <v>0.11319444444751652</v>
      </c>
      <c r="BM524" s="95">
        <f t="shared" si="293"/>
        <v>5.2777777777616081E-2</v>
      </c>
      <c r="BN524" s="110"/>
    </row>
    <row r="525" spans="1:66" s="8" customFormat="1" ht="12.75" customHeight="1" x14ac:dyDescent="0.25">
      <c r="A525" s="150">
        <v>473</v>
      </c>
      <c r="B525" s="150">
        <v>43</v>
      </c>
      <c r="C525" s="90">
        <v>13</v>
      </c>
      <c r="D525" s="111" t="s">
        <v>148</v>
      </c>
      <c r="E525" s="210" t="s">
        <v>663</v>
      </c>
      <c r="F525" s="150" t="s">
        <v>16</v>
      </c>
      <c r="G525" s="150" t="s">
        <v>17</v>
      </c>
      <c r="H525" s="150" t="s">
        <v>150</v>
      </c>
      <c r="I525" s="150" t="s">
        <v>710</v>
      </c>
      <c r="J525" s="151">
        <v>45515</v>
      </c>
      <c r="K525" s="135" t="s">
        <v>122</v>
      </c>
      <c r="L525" s="135">
        <v>461000422</v>
      </c>
      <c r="M525" s="151">
        <v>45516</v>
      </c>
      <c r="N525" s="220">
        <v>45515.791666666664</v>
      </c>
      <c r="O525" s="220">
        <v>45515.791666666664</v>
      </c>
      <c r="P525" s="152">
        <v>45515.795138888891</v>
      </c>
      <c r="Q525" s="152">
        <v>45515.993055555555</v>
      </c>
      <c r="R525" s="220" t="s">
        <v>118</v>
      </c>
      <c r="S525" s="152">
        <v>45516.111111111109</v>
      </c>
      <c r="T525" s="152">
        <v>45516.111111111109</v>
      </c>
      <c r="U525" s="152">
        <v>45516.253472222219</v>
      </c>
      <c r="V525" s="219">
        <f t="shared" si="284"/>
        <v>0.20138888889050577</v>
      </c>
      <c r="W525" s="165">
        <v>0.20833333333333334</v>
      </c>
      <c r="X525" s="219" t="str">
        <f t="shared" si="285"/>
        <v>00:00</v>
      </c>
      <c r="Y525" s="96">
        <v>0</v>
      </c>
      <c r="Z525" s="96">
        <v>59</v>
      </c>
      <c r="AA525" s="96">
        <f t="shared" si="278"/>
        <v>59</v>
      </c>
      <c r="AB525" s="97">
        <f t="shared" si="279"/>
        <v>0</v>
      </c>
      <c r="AC525" s="97">
        <f t="shared" si="280"/>
        <v>4049.3</v>
      </c>
      <c r="AD525" s="98">
        <v>4049.3</v>
      </c>
      <c r="AE525" s="98">
        <v>4048</v>
      </c>
      <c r="AF525" s="98">
        <v>4072.6</v>
      </c>
      <c r="AG525" s="98">
        <f t="shared" si="281"/>
        <v>23.299999999999727</v>
      </c>
      <c r="AH525" s="99">
        <v>672.5</v>
      </c>
      <c r="AI525" s="100">
        <f t="shared" si="282"/>
        <v>2738823.5</v>
      </c>
      <c r="AJ525" s="100">
        <f>(0*AH525)*2</f>
        <v>0</v>
      </c>
      <c r="AK525" s="100">
        <v>0</v>
      </c>
      <c r="AL525" s="100">
        <v>24290</v>
      </c>
      <c r="AM525" s="100">
        <v>0</v>
      </c>
      <c r="AN525" s="100">
        <v>0</v>
      </c>
      <c r="AO525" s="100">
        <v>0</v>
      </c>
      <c r="AP525" s="100">
        <f t="shared" si="297"/>
        <v>138156</v>
      </c>
      <c r="AQ525" s="101">
        <f t="shared" si="286"/>
        <v>2901270</v>
      </c>
      <c r="AR525" s="101">
        <v>0</v>
      </c>
      <c r="AS525" s="101">
        <v>0</v>
      </c>
      <c r="AT525" s="102" t="s">
        <v>34</v>
      </c>
      <c r="AU525" s="109">
        <v>11</v>
      </c>
      <c r="AV525" s="222">
        <f>32.28-22.28</f>
        <v>10</v>
      </c>
      <c r="AW525" s="105">
        <v>3</v>
      </c>
      <c r="AX525" s="216">
        <f t="shared" si="287"/>
        <v>0.5721160929136111</v>
      </c>
      <c r="AY525" s="217">
        <f t="shared" si="288"/>
        <v>15670</v>
      </c>
      <c r="AZ525" s="107"/>
      <c r="BA525" s="94">
        <v>45515.791666666664</v>
      </c>
      <c r="BB525" s="94">
        <v>45515.795138888891</v>
      </c>
      <c r="BC525" s="94">
        <v>45515.871527777781</v>
      </c>
      <c r="BD525" s="94">
        <v>45516.095833333333</v>
      </c>
      <c r="BE525" s="95">
        <f t="shared" si="289"/>
        <v>0.30416666666860692</v>
      </c>
      <c r="BF525" s="95">
        <v>6.6666666666666666E-2</v>
      </c>
      <c r="BG525" s="95">
        <v>6.7361111111111108E-2</v>
      </c>
      <c r="BH525" s="95">
        <f t="shared" si="296"/>
        <v>3.4722222262644209E-3</v>
      </c>
      <c r="BI525" s="95">
        <f t="shared" si="296"/>
        <v>7.6388888890505768E-2</v>
      </c>
      <c r="BJ525" s="95">
        <f t="shared" si="296"/>
        <v>0.22430555555183673</v>
      </c>
      <c r="BK525" s="95">
        <f t="shared" si="291"/>
        <v>0.3006944444423425</v>
      </c>
      <c r="BL525" s="95">
        <f t="shared" si="292"/>
        <v>0.16666666666456476</v>
      </c>
      <c r="BM525" s="95">
        <f t="shared" si="293"/>
        <v>9.5833333335273579E-2</v>
      </c>
      <c r="BN525" s="110"/>
    </row>
    <row r="526" spans="1:66" s="8" customFormat="1" ht="12.75" customHeight="1" x14ac:dyDescent="0.25">
      <c r="A526" s="150">
        <v>474</v>
      </c>
      <c r="B526" s="150">
        <v>44</v>
      </c>
      <c r="C526" s="90">
        <v>1</v>
      </c>
      <c r="D526" s="111" t="s">
        <v>113</v>
      </c>
      <c r="E526" s="210" t="s">
        <v>711</v>
      </c>
      <c r="F526" s="150" t="s">
        <v>32</v>
      </c>
      <c r="G526" s="150" t="s">
        <v>8</v>
      </c>
      <c r="H526" s="150" t="s">
        <v>182</v>
      </c>
      <c r="I526" s="150" t="s">
        <v>712</v>
      </c>
      <c r="J526" s="151">
        <v>45515</v>
      </c>
      <c r="K526" s="135" t="s">
        <v>117</v>
      </c>
      <c r="L526" s="135">
        <v>241000403</v>
      </c>
      <c r="M526" s="151">
        <v>45516</v>
      </c>
      <c r="N526" s="220">
        <v>45516.236111111109</v>
      </c>
      <c r="O526" s="220">
        <v>45516.229166666664</v>
      </c>
      <c r="P526" s="152">
        <v>45516.25</v>
      </c>
      <c r="Q526" s="152">
        <v>45516.4375</v>
      </c>
      <c r="R526" s="220">
        <v>45516.236111111109</v>
      </c>
      <c r="S526" s="152" t="s">
        <v>118</v>
      </c>
      <c r="T526" s="152">
        <v>45516.496527777781</v>
      </c>
      <c r="U526" s="152">
        <v>45516.59652777778</v>
      </c>
      <c r="V526" s="219">
        <f t="shared" si="284"/>
        <v>0.20833333333575865</v>
      </c>
      <c r="W526" s="165">
        <v>0.20833333333333334</v>
      </c>
      <c r="X526" s="219">
        <f t="shared" si="285"/>
        <v>2.4253099528692701E-12</v>
      </c>
      <c r="Y526" s="96">
        <v>0</v>
      </c>
      <c r="Z526" s="96">
        <v>58</v>
      </c>
      <c r="AA526" s="96">
        <f t="shared" si="278"/>
        <v>58</v>
      </c>
      <c r="AB526" s="97">
        <f t="shared" si="279"/>
        <v>0</v>
      </c>
      <c r="AC526" s="97">
        <f t="shared" si="280"/>
        <v>3969.53</v>
      </c>
      <c r="AD526" s="98">
        <v>3969.53</v>
      </c>
      <c r="AE526" s="98">
        <v>3989.9</v>
      </c>
      <c r="AF526" s="98">
        <v>4002.8</v>
      </c>
      <c r="AG526" s="98">
        <f t="shared" si="281"/>
        <v>33.269999999999982</v>
      </c>
      <c r="AH526" s="99">
        <v>1484</v>
      </c>
      <c r="AI526" s="100">
        <f t="shared" si="282"/>
        <v>5940155.2000000002</v>
      </c>
      <c r="AJ526" s="100">
        <f>(2.4*AH526)*2</f>
        <v>7123.2</v>
      </c>
      <c r="AK526" s="100">
        <v>0</v>
      </c>
      <c r="AL526" s="100">
        <v>0</v>
      </c>
      <c r="AM526" s="100">
        <v>0</v>
      </c>
      <c r="AN526" s="100">
        <v>0</v>
      </c>
      <c r="AO526" s="100">
        <v>0</v>
      </c>
      <c r="AP526" s="100">
        <f t="shared" si="297"/>
        <v>297364</v>
      </c>
      <c r="AQ526" s="101">
        <f t="shared" si="286"/>
        <v>6244643</v>
      </c>
      <c r="AR526" s="101">
        <v>0</v>
      </c>
      <c r="AS526" s="101">
        <v>0</v>
      </c>
      <c r="AT526" s="102" t="s">
        <v>34</v>
      </c>
      <c r="AU526" s="109" t="s">
        <v>118</v>
      </c>
      <c r="AV526" s="222">
        <v>0</v>
      </c>
      <c r="AW526" s="105">
        <v>0</v>
      </c>
      <c r="AX526" s="216">
        <f t="shared" si="287"/>
        <v>0.83116818227240885</v>
      </c>
      <c r="AY526" s="217">
        <f t="shared" si="288"/>
        <v>49373</v>
      </c>
      <c r="AZ526" s="107"/>
      <c r="BA526" s="94">
        <v>45516.236111111109</v>
      </c>
      <c r="BB526" s="94">
        <v>45516.25</v>
      </c>
      <c r="BC526" s="94">
        <v>45516.25</v>
      </c>
      <c r="BD526" s="94">
        <v>45516.461805555555</v>
      </c>
      <c r="BE526" s="95">
        <f t="shared" si="289"/>
        <v>0.22569444444525288</v>
      </c>
      <c r="BF526" s="95">
        <v>6.2500000000000003E-3</v>
      </c>
      <c r="BG526" s="95">
        <v>9.0277777777777776E-2</v>
      </c>
      <c r="BH526" s="95">
        <f t="shared" si="296"/>
        <v>1.3888888890505768E-2</v>
      </c>
      <c r="BI526" s="95">
        <f t="shared" si="296"/>
        <v>0</v>
      </c>
      <c r="BJ526" s="95">
        <f t="shared" si="296"/>
        <v>0.21180555555474712</v>
      </c>
      <c r="BK526" s="95">
        <f t="shared" si="291"/>
        <v>0.21180555555474712</v>
      </c>
      <c r="BL526" s="95">
        <f t="shared" si="292"/>
        <v>0.11527777777696933</v>
      </c>
      <c r="BM526" s="95">
        <f t="shared" si="293"/>
        <v>1.7361111111919542E-2</v>
      </c>
      <c r="BN526" s="110"/>
    </row>
    <row r="527" spans="1:66" s="8" customFormat="1" ht="12.75" customHeight="1" x14ac:dyDescent="0.25">
      <c r="A527" s="150">
        <v>475</v>
      </c>
      <c r="B527" s="150">
        <v>45</v>
      </c>
      <c r="C527" s="90">
        <v>14</v>
      </c>
      <c r="D527" s="111" t="s">
        <v>148</v>
      </c>
      <c r="E527" s="210" t="s">
        <v>663</v>
      </c>
      <c r="F527" s="150" t="s">
        <v>16</v>
      </c>
      <c r="G527" s="150" t="s">
        <v>17</v>
      </c>
      <c r="H527" s="150" t="s">
        <v>150</v>
      </c>
      <c r="I527" s="150" t="s">
        <v>713</v>
      </c>
      <c r="J527" s="151">
        <v>45515</v>
      </c>
      <c r="K527" s="135" t="s">
        <v>122</v>
      </c>
      <c r="L527" s="135">
        <v>461000423</v>
      </c>
      <c r="M527" s="151">
        <v>45516</v>
      </c>
      <c r="N527" s="220">
        <v>45516.572916666664</v>
      </c>
      <c r="O527" s="220">
        <v>45516.572916666664</v>
      </c>
      <c r="P527" s="152">
        <v>45516.579861111109</v>
      </c>
      <c r="Q527" s="152">
        <v>45516.770833333336</v>
      </c>
      <c r="R527" s="220" t="s">
        <v>118</v>
      </c>
      <c r="S527" s="152" t="s">
        <v>118</v>
      </c>
      <c r="T527" s="152">
        <v>45516.791666666664</v>
      </c>
      <c r="U527" s="152">
        <v>45516.838194444441</v>
      </c>
      <c r="V527" s="219">
        <f t="shared" si="284"/>
        <v>0.19791666667151731</v>
      </c>
      <c r="W527" s="165">
        <v>0.20833333333333334</v>
      </c>
      <c r="X527" s="219" t="str">
        <f t="shared" si="285"/>
        <v>00:00</v>
      </c>
      <c r="Y527" s="96">
        <v>0</v>
      </c>
      <c r="Z527" s="96">
        <v>58</v>
      </c>
      <c r="AA527" s="96">
        <f t="shared" si="278"/>
        <v>58</v>
      </c>
      <c r="AB527" s="97">
        <f t="shared" si="279"/>
        <v>0</v>
      </c>
      <c r="AC527" s="97">
        <f t="shared" si="280"/>
        <v>4002.3</v>
      </c>
      <c r="AD527" s="98">
        <v>4002.3</v>
      </c>
      <c r="AE527" s="98">
        <v>3967.3</v>
      </c>
      <c r="AF527" s="98">
        <v>3977.2</v>
      </c>
      <c r="AG527" s="98">
        <f t="shared" si="281"/>
        <v>-25.100000000000364</v>
      </c>
      <c r="AH527" s="99">
        <v>672.5</v>
      </c>
      <c r="AI527" s="100">
        <f t="shared" si="282"/>
        <v>2674667</v>
      </c>
      <c r="AJ527" s="100">
        <f>(32.2*AH527)*3</f>
        <v>64963.500000000015</v>
      </c>
      <c r="AK527" s="100">
        <v>0</v>
      </c>
      <c r="AL527" s="100">
        <v>0</v>
      </c>
      <c r="AM527" s="100">
        <v>0</v>
      </c>
      <c r="AN527" s="100">
        <v>0</v>
      </c>
      <c r="AO527" s="100">
        <v>0</v>
      </c>
      <c r="AP527" s="100">
        <f t="shared" si="297"/>
        <v>136982</v>
      </c>
      <c r="AQ527" s="101">
        <f t="shared" si="286"/>
        <v>2876613</v>
      </c>
      <c r="AR527" s="101">
        <v>0</v>
      </c>
      <c r="AS527" s="101">
        <v>0</v>
      </c>
      <c r="AT527" s="102" t="s">
        <v>34</v>
      </c>
      <c r="AU527" s="109" t="s">
        <v>118</v>
      </c>
      <c r="AV527" s="222">
        <v>0</v>
      </c>
      <c r="AW527" s="105">
        <v>0</v>
      </c>
      <c r="AX527" s="216">
        <f t="shared" si="287"/>
        <v>-0.63109725434980302</v>
      </c>
      <c r="AY527" s="217">
        <f t="shared" si="288"/>
        <v>-16880</v>
      </c>
      <c r="AZ527" s="107"/>
      <c r="BA527" s="94">
        <v>45516.572916666664</v>
      </c>
      <c r="BB527" s="94">
        <v>45516.579861111109</v>
      </c>
      <c r="BC527" s="94">
        <v>45516.579861111109</v>
      </c>
      <c r="BD527" s="94">
        <v>45516.759722222225</v>
      </c>
      <c r="BE527" s="95">
        <f t="shared" si="289"/>
        <v>0.18680555556056788</v>
      </c>
      <c r="BF527" s="95">
        <v>2.1527777777777778E-2</v>
      </c>
      <c r="BG527" s="95">
        <v>0</v>
      </c>
      <c r="BH527" s="95">
        <f t="shared" si="296"/>
        <v>6.9444444452528842E-3</v>
      </c>
      <c r="BI527" s="95">
        <f t="shared" si="296"/>
        <v>0</v>
      </c>
      <c r="BJ527" s="95">
        <f t="shared" si="296"/>
        <v>0.179861111115315</v>
      </c>
      <c r="BK527" s="95">
        <f t="shared" si="291"/>
        <v>0.179861111115315</v>
      </c>
      <c r="BL527" s="95">
        <f t="shared" si="292"/>
        <v>0.15833333333753721</v>
      </c>
      <c r="BM527" s="95" t="str">
        <f t="shared" si="293"/>
        <v>00:00</v>
      </c>
      <c r="BN527" s="110"/>
    </row>
    <row r="528" spans="1:66" s="8" customFormat="1" ht="12.75" customHeight="1" x14ac:dyDescent="0.25">
      <c r="A528" s="150">
        <v>476</v>
      </c>
      <c r="B528" s="150">
        <v>46</v>
      </c>
      <c r="C528" s="90">
        <v>2</v>
      </c>
      <c r="D528" s="111" t="s">
        <v>113</v>
      </c>
      <c r="E528" s="210" t="s">
        <v>711</v>
      </c>
      <c r="F528" s="150" t="s">
        <v>32</v>
      </c>
      <c r="G528" s="150" t="s">
        <v>8</v>
      </c>
      <c r="H528" s="150" t="s">
        <v>120</v>
      </c>
      <c r="I528" s="150" t="s">
        <v>714</v>
      </c>
      <c r="J528" s="151">
        <v>45516</v>
      </c>
      <c r="K528" s="135" t="s">
        <v>117</v>
      </c>
      <c r="L528" s="135">
        <v>261005911</v>
      </c>
      <c r="M528" s="151">
        <v>45517</v>
      </c>
      <c r="N528" s="220">
        <v>45516.760416666664</v>
      </c>
      <c r="O528" s="220">
        <v>45516.760416666664</v>
      </c>
      <c r="P528" s="152">
        <v>45516.763888888891</v>
      </c>
      <c r="Q528" s="152">
        <v>45516.96875</v>
      </c>
      <c r="R528" s="220" t="s">
        <v>118</v>
      </c>
      <c r="S528" s="152" t="s">
        <v>118</v>
      </c>
      <c r="T528" s="152">
        <v>45517.003472222219</v>
      </c>
      <c r="U528" s="152">
        <v>45517.095833333333</v>
      </c>
      <c r="V528" s="219">
        <f t="shared" si="284"/>
        <v>0.20833333333575865</v>
      </c>
      <c r="W528" s="165">
        <v>0.20833333333333334</v>
      </c>
      <c r="X528" s="219">
        <f t="shared" si="285"/>
        <v>2.4253099528692701E-12</v>
      </c>
      <c r="Y528" s="96">
        <v>0</v>
      </c>
      <c r="Z528" s="96">
        <v>59</v>
      </c>
      <c r="AA528" s="96">
        <f t="shared" si="278"/>
        <v>59</v>
      </c>
      <c r="AB528" s="97">
        <f t="shared" si="279"/>
        <v>0</v>
      </c>
      <c r="AC528" s="97">
        <f t="shared" si="280"/>
        <v>4021.56</v>
      </c>
      <c r="AD528" s="98">
        <v>4021.56</v>
      </c>
      <c r="AE528" s="98">
        <v>4052.6</v>
      </c>
      <c r="AF528" s="98">
        <v>4068.6</v>
      </c>
      <c r="AG528" s="98">
        <f t="shared" si="281"/>
        <v>47.039999999999964</v>
      </c>
      <c r="AH528" s="99">
        <v>1398.7</v>
      </c>
      <c r="AI528" s="100">
        <f t="shared" si="282"/>
        <v>5690750.8200000003</v>
      </c>
      <c r="AJ528" s="100">
        <f>(1.2*AH528)*2</f>
        <v>3356.88</v>
      </c>
      <c r="AK528" s="100">
        <v>0</v>
      </c>
      <c r="AL528" s="100">
        <v>0</v>
      </c>
      <c r="AM528" s="100">
        <v>0</v>
      </c>
      <c r="AN528" s="100">
        <v>0</v>
      </c>
      <c r="AO528" s="100">
        <v>0</v>
      </c>
      <c r="AP528" s="100">
        <f t="shared" si="297"/>
        <v>284706</v>
      </c>
      <c r="AQ528" s="101">
        <f t="shared" si="286"/>
        <v>5978814</v>
      </c>
      <c r="AR528" s="101">
        <v>0</v>
      </c>
      <c r="AS528" s="101">
        <v>0</v>
      </c>
      <c r="AT528" s="102" t="s">
        <v>33</v>
      </c>
      <c r="AU528" s="109" t="s">
        <v>118</v>
      </c>
      <c r="AV528" s="222">
        <v>0</v>
      </c>
      <c r="AW528" s="105">
        <v>0</v>
      </c>
      <c r="AX528" s="216">
        <f t="shared" si="287"/>
        <v>1.1561716560979198</v>
      </c>
      <c r="AY528" s="217">
        <f t="shared" si="288"/>
        <v>65795</v>
      </c>
      <c r="AZ528" s="107"/>
      <c r="BA528" s="94">
        <v>45516.760416666664</v>
      </c>
      <c r="BB528" s="94">
        <v>45516.763888888891</v>
      </c>
      <c r="BC528" s="94">
        <v>45516.809027777781</v>
      </c>
      <c r="BD528" s="94">
        <v>45516.960416666669</v>
      </c>
      <c r="BE528" s="95">
        <f t="shared" si="289"/>
        <v>0.20000000000436557</v>
      </c>
      <c r="BF528" s="95">
        <v>2.5694444444444443E-2</v>
      </c>
      <c r="BG528" s="95">
        <v>2.7777777777777776E-2</v>
      </c>
      <c r="BH528" s="95">
        <f t="shared" si="296"/>
        <v>3.4722222262644209E-3</v>
      </c>
      <c r="BI528" s="95">
        <f t="shared" si="296"/>
        <v>4.5138888890505768E-2</v>
      </c>
      <c r="BJ528" s="95">
        <f t="shared" si="296"/>
        <v>0.15138888888759539</v>
      </c>
      <c r="BK528" s="95">
        <f t="shared" si="291"/>
        <v>0.19652777777810115</v>
      </c>
      <c r="BL528" s="95">
        <f t="shared" si="292"/>
        <v>0.14305555555587895</v>
      </c>
      <c r="BM528" s="95" t="str">
        <f t="shared" si="293"/>
        <v>00:00</v>
      </c>
      <c r="BN528" s="110"/>
    </row>
    <row r="529" spans="1:66" s="8" customFormat="1" ht="12.75" customHeight="1" x14ac:dyDescent="0.25">
      <c r="A529" s="150">
        <v>477</v>
      </c>
      <c r="B529" s="150">
        <v>47</v>
      </c>
      <c r="C529" s="90">
        <v>3</v>
      </c>
      <c r="D529" s="111" t="s">
        <v>113</v>
      </c>
      <c r="E529" s="210" t="s">
        <v>711</v>
      </c>
      <c r="F529" s="150" t="s">
        <v>32</v>
      </c>
      <c r="G529" s="150" t="s">
        <v>8</v>
      </c>
      <c r="H529" s="150" t="s">
        <v>182</v>
      </c>
      <c r="I529" s="150" t="s">
        <v>715</v>
      </c>
      <c r="J529" s="151">
        <v>45516</v>
      </c>
      <c r="K529" s="135" t="s">
        <v>122</v>
      </c>
      <c r="L529" s="135">
        <v>261005915</v>
      </c>
      <c r="M529" s="151">
        <v>45517</v>
      </c>
      <c r="N529" s="220">
        <v>45516.9375</v>
      </c>
      <c r="O529" s="220">
        <v>45516.9375</v>
      </c>
      <c r="P529" s="152">
        <v>45516.940972222219</v>
      </c>
      <c r="Q529" s="152">
        <v>45517.145833333336</v>
      </c>
      <c r="R529" s="220" t="s">
        <v>118</v>
      </c>
      <c r="S529" s="152" t="s">
        <v>118</v>
      </c>
      <c r="T529" s="152">
        <v>45517.166666666664</v>
      </c>
      <c r="U529" s="152">
        <v>45517.261111111111</v>
      </c>
      <c r="V529" s="219">
        <f t="shared" si="284"/>
        <v>0.20833333333575865</v>
      </c>
      <c r="W529" s="165">
        <v>0.20833333333333334</v>
      </c>
      <c r="X529" s="219">
        <f t="shared" si="285"/>
        <v>2.4253099528692701E-12</v>
      </c>
      <c r="Y529" s="96">
        <v>0</v>
      </c>
      <c r="Z529" s="96">
        <v>58</v>
      </c>
      <c r="AA529" s="96">
        <f t="shared" si="278"/>
        <v>58</v>
      </c>
      <c r="AB529" s="97">
        <f t="shared" si="279"/>
        <v>0</v>
      </c>
      <c r="AC529" s="97">
        <f t="shared" si="280"/>
        <v>3852.98</v>
      </c>
      <c r="AD529" s="98">
        <v>3852.98</v>
      </c>
      <c r="AE529" s="98">
        <v>3960.4</v>
      </c>
      <c r="AF529" s="98">
        <v>3966.8</v>
      </c>
      <c r="AG529" s="98">
        <f t="shared" si="281"/>
        <v>113.82000000000016</v>
      </c>
      <c r="AH529" s="99">
        <v>1484</v>
      </c>
      <c r="AI529" s="100">
        <f t="shared" si="282"/>
        <v>5886731.2000000002</v>
      </c>
      <c r="AJ529" s="100">
        <f>(0.4*AH529)*2</f>
        <v>1187.2</v>
      </c>
      <c r="AK529" s="100">
        <v>0</v>
      </c>
      <c r="AL529" s="100">
        <v>0</v>
      </c>
      <c r="AM529" s="100">
        <v>0</v>
      </c>
      <c r="AN529" s="100">
        <v>0</v>
      </c>
      <c r="AO529" s="100">
        <v>0</v>
      </c>
      <c r="AP529" s="100">
        <f t="shared" si="297"/>
        <v>294396</v>
      </c>
      <c r="AQ529" s="101">
        <f t="shared" si="286"/>
        <v>6182315</v>
      </c>
      <c r="AR529" s="101">
        <v>0</v>
      </c>
      <c r="AS529" s="101">
        <v>0</v>
      </c>
      <c r="AT529" s="102" t="s">
        <v>34</v>
      </c>
      <c r="AU529" s="109" t="s">
        <v>118</v>
      </c>
      <c r="AV529" s="222">
        <v>0</v>
      </c>
      <c r="AW529" s="105">
        <v>0</v>
      </c>
      <c r="AX529" s="216">
        <f t="shared" si="287"/>
        <v>2.8693153171322012</v>
      </c>
      <c r="AY529" s="217">
        <f t="shared" si="288"/>
        <v>168909</v>
      </c>
      <c r="AZ529" s="107"/>
      <c r="BA529" s="94">
        <v>45516.9375</v>
      </c>
      <c r="BB529" s="94">
        <v>45516.940972222219</v>
      </c>
      <c r="BC529" s="94">
        <v>45516.966666666667</v>
      </c>
      <c r="BD529" s="94">
        <v>45517.134722222225</v>
      </c>
      <c r="BE529" s="95">
        <f t="shared" si="289"/>
        <v>0.19722222222480923</v>
      </c>
      <c r="BF529" s="95">
        <v>0</v>
      </c>
      <c r="BG529" s="95">
        <v>0.05</v>
      </c>
      <c r="BH529" s="95">
        <f t="shared" si="296"/>
        <v>3.4722222189884633E-3</v>
      </c>
      <c r="BI529" s="95">
        <f t="shared" si="296"/>
        <v>2.5694444448163267E-2</v>
      </c>
      <c r="BJ529" s="95">
        <f t="shared" si="296"/>
        <v>0.1680555555576575</v>
      </c>
      <c r="BK529" s="95">
        <f t="shared" si="291"/>
        <v>0.19375000000582077</v>
      </c>
      <c r="BL529" s="95">
        <f t="shared" si="292"/>
        <v>0.14375000000582078</v>
      </c>
      <c r="BM529" s="95" t="str">
        <f t="shared" si="293"/>
        <v>00:00</v>
      </c>
      <c r="BN529" s="110"/>
    </row>
    <row r="530" spans="1:66" s="8" customFormat="1" ht="12.75" customHeight="1" x14ac:dyDescent="0.25">
      <c r="A530" s="150">
        <v>478</v>
      </c>
      <c r="B530" s="150">
        <v>48</v>
      </c>
      <c r="C530" s="90">
        <v>15</v>
      </c>
      <c r="D530" s="111" t="s">
        <v>148</v>
      </c>
      <c r="E530" s="210" t="s">
        <v>663</v>
      </c>
      <c r="F530" s="150" t="s">
        <v>16</v>
      </c>
      <c r="G530" s="150" t="s">
        <v>17</v>
      </c>
      <c r="H530" s="150" t="s">
        <v>150</v>
      </c>
      <c r="I530" s="150" t="s">
        <v>716</v>
      </c>
      <c r="J530" s="151">
        <v>45516</v>
      </c>
      <c r="K530" s="135" t="s">
        <v>117</v>
      </c>
      <c r="L530" s="135">
        <v>461000424</v>
      </c>
      <c r="M530" s="151">
        <v>45517</v>
      </c>
      <c r="N530" s="220">
        <v>45517.145833333336</v>
      </c>
      <c r="O530" s="220">
        <v>45517.145833333336</v>
      </c>
      <c r="P530" s="152">
        <v>45517.149305555555</v>
      </c>
      <c r="Q530" s="152">
        <v>45517.354166666664</v>
      </c>
      <c r="R530" s="220" t="s">
        <v>118</v>
      </c>
      <c r="S530" s="152">
        <v>45517.385416666664</v>
      </c>
      <c r="T530" s="152">
        <v>45517.395833333336</v>
      </c>
      <c r="U530" s="152">
        <v>45517.479166666664</v>
      </c>
      <c r="V530" s="219">
        <f t="shared" si="284"/>
        <v>0.20833333332848269</v>
      </c>
      <c r="W530" s="165">
        <v>0.20833333333333334</v>
      </c>
      <c r="X530" s="219" t="str">
        <f t="shared" si="285"/>
        <v>00:00</v>
      </c>
      <c r="Y530" s="96">
        <v>12</v>
      </c>
      <c r="Z530" s="96">
        <v>46</v>
      </c>
      <c r="AA530" s="96">
        <f t="shared" si="278"/>
        <v>58</v>
      </c>
      <c r="AB530" s="97">
        <f t="shared" si="279"/>
        <v>829.32206896551713</v>
      </c>
      <c r="AC530" s="97">
        <f t="shared" si="280"/>
        <v>3179.0679310344822</v>
      </c>
      <c r="AD530" s="98">
        <v>4008.39</v>
      </c>
      <c r="AE530" s="98">
        <v>3982.2</v>
      </c>
      <c r="AF530" s="98">
        <v>3995.4</v>
      </c>
      <c r="AG530" s="98">
        <f t="shared" si="281"/>
        <v>-12.989999999999782</v>
      </c>
      <c r="AH530" s="99">
        <v>672.5</v>
      </c>
      <c r="AI530" s="100">
        <f t="shared" si="282"/>
        <v>2686906.5</v>
      </c>
      <c r="AJ530" s="100">
        <f>(26.8*AH530)*3</f>
        <v>54069</v>
      </c>
      <c r="AK530" s="100">
        <v>0</v>
      </c>
      <c r="AL530" s="100">
        <v>0</v>
      </c>
      <c r="AM530" s="100">
        <v>0</v>
      </c>
      <c r="AN530" s="100">
        <v>0</v>
      </c>
      <c r="AO530" s="100">
        <v>0</v>
      </c>
      <c r="AP530" s="100">
        <f t="shared" si="297"/>
        <v>137049</v>
      </c>
      <c r="AQ530" s="101">
        <f t="shared" si="286"/>
        <v>2878025</v>
      </c>
      <c r="AR530" s="101">
        <v>0</v>
      </c>
      <c r="AS530" s="101">
        <v>0</v>
      </c>
      <c r="AT530" s="102" t="s">
        <v>34</v>
      </c>
      <c r="AU530" s="109" t="s">
        <v>118</v>
      </c>
      <c r="AV530" s="222">
        <v>0</v>
      </c>
      <c r="AW530" s="105">
        <v>1</v>
      </c>
      <c r="AX530" s="216">
        <f t="shared" si="287"/>
        <v>-0.32512389247634232</v>
      </c>
      <c r="AY530" s="217">
        <f t="shared" si="288"/>
        <v>-8736</v>
      </c>
      <c r="AZ530" s="107"/>
      <c r="BA530" s="94">
        <v>45517.145833333336</v>
      </c>
      <c r="BB530" s="94">
        <v>45517.149305555555</v>
      </c>
      <c r="BC530" s="94">
        <v>45517.163194444445</v>
      </c>
      <c r="BD530" s="94">
        <v>45517.379861111112</v>
      </c>
      <c r="BE530" s="95">
        <f t="shared" si="289"/>
        <v>0.23402777777664596</v>
      </c>
      <c r="BF530" s="95">
        <v>7.9861111111111105E-2</v>
      </c>
      <c r="BG530" s="95">
        <v>5.5555555555555558E-3</v>
      </c>
      <c r="BH530" s="95">
        <f t="shared" si="296"/>
        <v>3.4722222189884633E-3</v>
      </c>
      <c r="BI530" s="95">
        <f t="shared" si="296"/>
        <v>1.3888888890505768E-2</v>
      </c>
      <c r="BJ530" s="95">
        <f t="shared" si="296"/>
        <v>0.21666666666715173</v>
      </c>
      <c r="BK530" s="95">
        <f t="shared" si="291"/>
        <v>0.2305555555576575</v>
      </c>
      <c r="BL530" s="95">
        <f t="shared" si="292"/>
        <v>0.14513888889099083</v>
      </c>
      <c r="BM530" s="95">
        <f t="shared" si="293"/>
        <v>2.569444444331262E-2</v>
      </c>
      <c r="BN530" s="110"/>
    </row>
    <row r="531" spans="1:66" s="8" customFormat="1" ht="12.75" customHeight="1" x14ac:dyDescent="0.25">
      <c r="A531" s="150">
        <v>479</v>
      </c>
      <c r="B531" s="150">
        <v>49</v>
      </c>
      <c r="C531" s="90">
        <v>15</v>
      </c>
      <c r="D531" s="111" t="s">
        <v>113</v>
      </c>
      <c r="E531" s="210" t="s">
        <v>551</v>
      </c>
      <c r="F531" s="150" t="s">
        <v>29</v>
      </c>
      <c r="G531" s="150" t="s">
        <v>8</v>
      </c>
      <c r="H531" s="150" t="s">
        <v>124</v>
      </c>
      <c r="I531" s="150" t="s">
        <v>717</v>
      </c>
      <c r="J531" s="151">
        <v>45516</v>
      </c>
      <c r="K531" s="135" t="s">
        <v>122</v>
      </c>
      <c r="L531" s="135">
        <v>261005916</v>
      </c>
      <c r="M531" s="151">
        <v>45517</v>
      </c>
      <c r="N531" s="220">
        <v>45517.5625</v>
      </c>
      <c r="O531" s="220">
        <v>45517.5625</v>
      </c>
      <c r="P531" s="152">
        <v>45517.569444444445</v>
      </c>
      <c r="Q531" s="152">
        <v>45517.770833333336</v>
      </c>
      <c r="R531" s="220" t="s">
        <v>118</v>
      </c>
      <c r="S531" s="152" t="s">
        <v>118</v>
      </c>
      <c r="T531" s="152">
        <v>45517.777777777781</v>
      </c>
      <c r="U531" s="152">
        <v>45517.844444444447</v>
      </c>
      <c r="V531" s="219">
        <f t="shared" si="284"/>
        <v>0.20833333333575865</v>
      </c>
      <c r="W531" s="165">
        <v>0.20833333333333334</v>
      </c>
      <c r="X531" s="219">
        <f t="shared" si="285"/>
        <v>2.4253099528692701E-12</v>
      </c>
      <c r="Y531" s="96">
        <v>0</v>
      </c>
      <c r="Z531" s="96">
        <v>58</v>
      </c>
      <c r="AA531" s="96">
        <f t="shared" si="278"/>
        <v>58</v>
      </c>
      <c r="AB531" s="97">
        <f t="shared" si="279"/>
        <v>0</v>
      </c>
      <c r="AC531" s="97">
        <f t="shared" si="280"/>
        <v>3994.2</v>
      </c>
      <c r="AD531" s="98">
        <v>3994.2</v>
      </c>
      <c r="AE531" s="98">
        <v>4002</v>
      </c>
      <c r="AF531" s="98">
        <v>4018.6</v>
      </c>
      <c r="AG531" s="98">
        <f t="shared" si="281"/>
        <v>24.400000000000091</v>
      </c>
      <c r="AH531" s="99">
        <v>797.2</v>
      </c>
      <c r="AI531" s="100">
        <f t="shared" si="282"/>
        <v>3203627.92</v>
      </c>
      <c r="AJ531" s="100">
        <f>(3.6*AH531)*2</f>
        <v>5739.84</v>
      </c>
      <c r="AK531" s="100">
        <v>0</v>
      </c>
      <c r="AL531" s="100">
        <v>0</v>
      </c>
      <c r="AM531" s="100">
        <v>0</v>
      </c>
      <c r="AN531" s="100">
        <v>0</v>
      </c>
      <c r="AO531" s="100">
        <v>0</v>
      </c>
      <c r="AP531" s="100">
        <f t="shared" si="297"/>
        <v>160469</v>
      </c>
      <c r="AQ531" s="101">
        <f t="shared" si="286"/>
        <v>3369837</v>
      </c>
      <c r="AR531" s="101">
        <v>0</v>
      </c>
      <c r="AS531" s="101">
        <v>0</v>
      </c>
      <c r="AT531" s="102" t="s">
        <v>268</v>
      </c>
      <c r="AU531" s="109" t="s">
        <v>118</v>
      </c>
      <c r="AV531" s="222">
        <v>0</v>
      </c>
      <c r="AW531" s="105">
        <v>0</v>
      </c>
      <c r="AX531" s="216">
        <f t="shared" si="287"/>
        <v>0.60717662867665589</v>
      </c>
      <c r="AY531" s="217">
        <f t="shared" si="288"/>
        <v>19452</v>
      </c>
      <c r="AZ531" s="107"/>
      <c r="BA531" s="94">
        <v>45517.5625</v>
      </c>
      <c r="BB531" s="94">
        <v>45517.569444444445</v>
      </c>
      <c r="BC531" s="94">
        <v>45517.576388888891</v>
      </c>
      <c r="BD531" s="94">
        <v>45517.725694444445</v>
      </c>
      <c r="BE531" s="95">
        <f t="shared" si="289"/>
        <v>0.16319444444525288</v>
      </c>
      <c r="BF531" s="95">
        <v>2.7777777777777776E-2</v>
      </c>
      <c r="BG531" s="95">
        <v>0</v>
      </c>
      <c r="BH531" s="95">
        <f t="shared" si="296"/>
        <v>6.9444444452528842E-3</v>
      </c>
      <c r="BI531" s="95">
        <f t="shared" si="296"/>
        <v>6.9444444452528842E-3</v>
      </c>
      <c r="BJ531" s="95">
        <f t="shared" si="296"/>
        <v>0.14930555555474712</v>
      </c>
      <c r="BK531" s="95">
        <f t="shared" si="291"/>
        <v>0.15625</v>
      </c>
      <c r="BL531" s="95">
        <f t="shared" si="292"/>
        <v>0.12847222222222221</v>
      </c>
      <c r="BM531" s="95" t="str">
        <f t="shared" si="293"/>
        <v>00:00</v>
      </c>
      <c r="BN531" s="110"/>
    </row>
    <row r="532" spans="1:66" s="8" customFormat="1" ht="12.75" customHeight="1" x14ac:dyDescent="0.25">
      <c r="A532" s="150">
        <v>480</v>
      </c>
      <c r="B532" s="150">
        <v>50</v>
      </c>
      <c r="C532" s="90">
        <v>4</v>
      </c>
      <c r="D532" s="111" t="s">
        <v>113</v>
      </c>
      <c r="E532" s="210" t="s">
        <v>711</v>
      </c>
      <c r="F532" s="150" t="s">
        <v>32</v>
      </c>
      <c r="G532" s="150" t="s">
        <v>8</v>
      </c>
      <c r="H532" s="150" t="s">
        <v>146</v>
      </c>
      <c r="I532" s="150" t="s">
        <v>718</v>
      </c>
      <c r="J532" s="151">
        <v>45517</v>
      </c>
      <c r="K532" s="135" t="s">
        <v>117</v>
      </c>
      <c r="L532" s="135">
        <v>261005917</v>
      </c>
      <c r="M532" s="151">
        <v>45518</v>
      </c>
      <c r="N532" s="220">
        <v>45517.711805555555</v>
      </c>
      <c r="O532" s="220">
        <v>45517.711805555555</v>
      </c>
      <c r="P532" s="152">
        <v>45517.71875</v>
      </c>
      <c r="Q532" s="152">
        <v>45517.916666666664</v>
      </c>
      <c r="R532" s="220" t="s">
        <v>118</v>
      </c>
      <c r="S532" s="152" t="s">
        <v>118</v>
      </c>
      <c r="T532" s="152">
        <v>45517.940972222219</v>
      </c>
      <c r="U532" s="152">
        <v>45518.024305555555</v>
      </c>
      <c r="V532" s="219">
        <f t="shared" si="284"/>
        <v>0.20486111110949423</v>
      </c>
      <c r="W532" s="165">
        <v>0.20833333333333334</v>
      </c>
      <c r="X532" s="219" t="str">
        <f t="shared" si="285"/>
        <v>00:00</v>
      </c>
      <c r="Y532" s="96">
        <v>0</v>
      </c>
      <c r="Z532" s="96">
        <v>59</v>
      </c>
      <c r="AA532" s="96">
        <f t="shared" si="278"/>
        <v>59</v>
      </c>
      <c r="AB532" s="97">
        <f t="shared" si="279"/>
        <v>0</v>
      </c>
      <c r="AC532" s="97">
        <f t="shared" si="280"/>
        <v>3936.1000000000004</v>
      </c>
      <c r="AD532" s="98">
        <v>3936.1</v>
      </c>
      <c r="AE532" s="98">
        <v>4035.5</v>
      </c>
      <c r="AF532" s="98">
        <v>4044.6</v>
      </c>
      <c r="AG532" s="98">
        <f t="shared" si="281"/>
        <v>108.5</v>
      </c>
      <c r="AH532" s="99">
        <v>1398.7</v>
      </c>
      <c r="AI532" s="100">
        <f t="shared" si="282"/>
        <v>5657182.0200000005</v>
      </c>
      <c r="AJ532" s="100">
        <f>(1.2*AH532)*2</f>
        <v>3356.88</v>
      </c>
      <c r="AK532" s="100">
        <v>0</v>
      </c>
      <c r="AL532" s="100">
        <v>0</v>
      </c>
      <c r="AM532" s="100">
        <v>0</v>
      </c>
      <c r="AN532" s="100">
        <v>0</v>
      </c>
      <c r="AO532" s="100">
        <v>0</v>
      </c>
      <c r="AP532" s="100">
        <f t="shared" si="297"/>
        <v>283027</v>
      </c>
      <c r="AQ532" s="101">
        <f t="shared" si="286"/>
        <v>5943566</v>
      </c>
      <c r="AR532" s="101">
        <v>0</v>
      </c>
      <c r="AS532" s="101">
        <v>0</v>
      </c>
      <c r="AT532" s="102" t="s">
        <v>33</v>
      </c>
      <c r="AU532" s="109" t="s">
        <v>118</v>
      </c>
      <c r="AV532" s="222">
        <v>0</v>
      </c>
      <c r="AW532" s="105">
        <v>0</v>
      </c>
      <c r="AX532" s="216">
        <f t="shared" si="287"/>
        <v>2.6825891311872621</v>
      </c>
      <c r="AY532" s="217">
        <f t="shared" si="288"/>
        <v>151759</v>
      </c>
      <c r="AZ532" s="107"/>
      <c r="BA532" s="94">
        <v>45517.711805555555</v>
      </c>
      <c r="BB532" s="94">
        <v>45517.71875</v>
      </c>
      <c r="BC532" s="94">
        <v>45517.748611111114</v>
      </c>
      <c r="BD532" s="94">
        <v>45517.90347222222</v>
      </c>
      <c r="BE532" s="95">
        <f t="shared" si="289"/>
        <v>0.19166666666569654</v>
      </c>
      <c r="BF532" s="95">
        <v>6.2500000000000003E-3</v>
      </c>
      <c r="BG532" s="95">
        <v>2.361111111111111E-2</v>
      </c>
      <c r="BH532" s="95">
        <f t="shared" si="296"/>
        <v>6.9444444452528842E-3</v>
      </c>
      <c r="BI532" s="95">
        <f t="shared" si="296"/>
        <v>2.9861111113859806E-2</v>
      </c>
      <c r="BJ532" s="95">
        <f t="shared" si="296"/>
        <v>0.15486111110658385</v>
      </c>
      <c r="BK532" s="95">
        <f t="shared" si="291"/>
        <v>0.18472222222044365</v>
      </c>
      <c r="BL532" s="95">
        <f t="shared" si="292"/>
        <v>0.15486111110933254</v>
      </c>
      <c r="BM532" s="95" t="str">
        <f t="shared" si="293"/>
        <v>00:00</v>
      </c>
      <c r="BN532" s="110"/>
    </row>
    <row r="533" spans="1:66" s="8" customFormat="1" ht="12.75" customHeight="1" x14ac:dyDescent="0.25">
      <c r="A533" s="150">
        <v>481</v>
      </c>
      <c r="B533" s="150">
        <v>51</v>
      </c>
      <c r="C533" s="90">
        <v>16</v>
      </c>
      <c r="D533" s="111" t="s">
        <v>148</v>
      </c>
      <c r="E533" s="210" t="s">
        <v>663</v>
      </c>
      <c r="F533" s="150" t="s">
        <v>16</v>
      </c>
      <c r="G533" s="150" t="s">
        <v>17</v>
      </c>
      <c r="H533" s="150" t="s">
        <v>150</v>
      </c>
      <c r="I533" s="150" t="s">
        <v>719</v>
      </c>
      <c r="J533" s="151">
        <v>45516</v>
      </c>
      <c r="K533" s="135" t="s">
        <v>122</v>
      </c>
      <c r="L533" s="135">
        <v>461000425</v>
      </c>
      <c r="M533" s="151">
        <v>45518</v>
      </c>
      <c r="N533" s="220">
        <v>45517.916666666664</v>
      </c>
      <c r="O533" s="220">
        <v>45517.916666666664</v>
      </c>
      <c r="P533" s="152">
        <v>45517.920138888891</v>
      </c>
      <c r="Q533" s="152">
        <v>45518.125</v>
      </c>
      <c r="R533" s="220" t="s">
        <v>118</v>
      </c>
      <c r="S533" s="152" t="s">
        <v>118</v>
      </c>
      <c r="T533" s="152">
        <v>45518.159722222219</v>
      </c>
      <c r="U533" s="152">
        <v>45518.29791666667</v>
      </c>
      <c r="V533" s="219">
        <f t="shared" si="284"/>
        <v>0.20833333333575865</v>
      </c>
      <c r="W533" s="165">
        <v>0.20833333333333334</v>
      </c>
      <c r="X533" s="219">
        <f t="shared" si="285"/>
        <v>2.4253099528692701E-12</v>
      </c>
      <c r="Y533" s="96">
        <v>0</v>
      </c>
      <c r="Z533" s="96">
        <v>59</v>
      </c>
      <c r="AA533" s="96">
        <f t="shared" si="278"/>
        <v>59</v>
      </c>
      <c r="AB533" s="97">
        <f t="shared" si="279"/>
        <v>0</v>
      </c>
      <c r="AC533" s="97">
        <f t="shared" si="280"/>
        <v>3985.03</v>
      </c>
      <c r="AD533" s="98">
        <v>3985.03</v>
      </c>
      <c r="AE533" s="98">
        <v>4046.4</v>
      </c>
      <c r="AF533" s="98">
        <v>4051</v>
      </c>
      <c r="AG533" s="98">
        <f t="shared" si="281"/>
        <v>65.9699999999998</v>
      </c>
      <c r="AH533" s="99">
        <v>672.5</v>
      </c>
      <c r="AI533" s="100">
        <f t="shared" si="282"/>
        <v>2724297.5</v>
      </c>
      <c r="AJ533" s="100">
        <f>(1.8*AH533)*2</f>
        <v>2421</v>
      </c>
      <c r="AK533" s="100">
        <v>0</v>
      </c>
      <c r="AL533" s="100">
        <v>0</v>
      </c>
      <c r="AM533" s="100">
        <v>0</v>
      </c>
      <c r="AN533" s="100">
        <v>0</v>
      </c>
      <c r="AO533" s="100">
        <v>0</v>
      </c>
      <c r="AP533" s="100">
        <f t="shared" si="297"/>
        <v>136336</v>
      </c>
      <c r="AQ533" s="101">
        <f t="shared" si="286"/>
        <v>2863055</v>
      </c>
      <c r="AR533" s="101">
        <v>0</v>
      </c>
      <c r="AS533" s="101">
        <v>0</v>
      </c>
      <c r="AT533" s="102" t="s">
        <v>33</v>
      </c>
      <c r="AU533" s="109" t="s">
        <v>118</v>
      </c>
      <c r="AV533" s="222">
        <v>0</v>
      </c>
      <c r="AW533" s="105">
        <v>0</v>
      </c>
      <c r="AX533" s="216">
        <f t="shared" si="287"/>
        <v>1.6284867933843445</v>
      </c>
      <c r="AY533" s="217">
        <f t="shared" si="288"/>
        <v>44365</v>
      </c>
      <c r="AZ533" s="107"/>
      <c r="BA533" s="94">
        <v>45517.916666666664</v>
      </c>
      <c r="BB533" s="94">
        <v>45517.920138888891</v>
      </c>
      <c r="BC533" s="94">
        <v>45517.947916666664</v>
      </c>
      <c r="BD533" s="94">
        <v>45518.138888888891</v>
      </c>
      <c r="BE533" s="95">
        <f t="shared" si="289"/>
        <v>0.22222222222626442</v>
      </c>
      <c r="BF533" s="95">
        <v>5.1388888888888887E-2</v>
      </c>
      <c r="BG533" s="95">
        <v>6.9444444444444441E-3</v>
      </c>
      <c r="BH533" s="95">
        <f t="shared" si="296"/>
        <v>3.4722222262644209E-3</v>
      </c>
      <c r="BI533" s="95">
        <f t="shared" si="296"/>
        <v>2.7777777773735579E-2</v>
      </c>
      <c r="BJ533" s="95">
        <f t="shared" si="296"/>
        <v>0.19097222222626442</v>
      </c>
      <c r="BK533" s="95">
        <f t="shared" si="291"/>
        <v>0.21875</v>
      </c>
      <c r="BL533" s="95">
        <f t="shared" si="292"/>
        <v>0.16041666666666668</v>
      </c>
      <c r="BM533" s="95">
        <f t="shared" si="293"/>
        <v>1.3888888892931078E-2</v>
      </c>
      <c r="BN533" s="110"/>
    </row>
    <row r="534" spans="1:66" s="8" customFormat="1" ht="12.75" customHeight="1" x14ac:dyDescent="0.25">
      <c r="A534" s="150">
        <v>482</v>
      </c>
      <c r="B534" s="150">
        <v>52</v>
      </c>
      <c r="C534" s="90">
        <v>5</v>
      </c>
      <c r="D534" s="111" t="s">
        <v>113</v>
      </c>
      <c r="E534" s="210" t="s">
        <v>711</v>
      </c>
      <c r="F534" s="150" t="s">
        <v>32</v>
      </c>
      <c r="G534" s="150" t="s">
        <v>8</v>
      </c>
      <c r="H534" s="150" t="s">
        <v>182</v>
      </c>
      <c r="I534" s="150" t="s">
        <v>720</v>
      </c>
      <c r="J534" s="151">
        <v>45518</v>
      </c>
      <c r="K534" s="135" t="s">
        <v>117</v>
      </c>
      <c r="L534" s="135">
        <v>261005921</v>
      </c>
      <c r="M534" s="151">
        <v>45518</v>
      </c>
      <c r="N534" s="220">
        <v>45518.083333333336</v>
      </c>
      <c r="O534" s="220">
        <v>45518.083333333336</v>
      </c>
      <c r="P534" s="152">
        <v>45518.086805555555</v>
      </c>
      <c r="Q534" s="152">
        <v>45518.291666666664</v>
      </c>
      <c r="R534" s="220" t="s">
        <v>118</v>
      </c>
      <c r="S534" s="152">
        <v>45518.322916666664</v>
      </c>
      <c r="T534" s="152">
        <v>45518.333333333336</v>
      </c>
      <c r="U534" s="152">
        <v>45518.441666666666</v>
      </c>
      <c r="V534" s="219">
        <f t="shared" si="284"/>
        <v>0.20833333332848269</v>
      </c>
      <c r="W534" s="165">
        <v>0.20833333333333334</v>
      </c>
      <c r="X534" s="219" t="str">
        <f t="shared" si="285"/>
        <v>00:00</v>
      </c>
      <c r="Y534" s="96">
        <v>0</v>
      </c>
      <c r="Z534" s="96">
        <v>58</v>
      </c>
      <c r="AA534" s="96">
        <f t="shared" si="278"/>
        <v>58</v>
      </c>
      <c r="AB534" s="97">
        <f t="shared" si="279"/>
        <v>0</v>
      </c>
      <c r="AC534" s="97">
        <f t="shared" si="280"/>
        <v>3956.94</v>
      </c>
      <c r="AD534" s="98">
        <v>3956.94</v>
      </c>
      <c r="AE534" s="98">
        <v>3998</v>
      </c>
      <c r="AF534" s="98">
        <v>4001.8</v>
      </c>
      <c r="AG534" s="98">
        <f t="shared" si="281"/>
        <v>44.860000000000127</v>
      </c>
      <c r="AH534" s="99">
        <v>1484</v>
      </c>
      <c r="AI534" s="100">
        <f t="shared" si="282"/>
        <v>5938671.2000000002</v>
      </c>
      <c r="AJ534" s="100">
        <f>(0.4*AH534)*2</f>
        <v>1187.2</v>
      </c>
      <c r="AK534" s="100">
        <v>0</v>
      </c>
      <c r="AL534" s="100">
        <v>0</v>
      </c>
      <c r="AM534" s="100">
        <v>0</v>
      </c>
      <c r="AN534" s="100">
        <v>0</v>
      </c>
      <c r="AO534" s="100">
        <v>0</v>
      </c>
      <c r="AP534" s="100">
        <f t="shared" si="297"/>
        <v>296993</v>
      </c>
      <c r="AQ534" s="101">
        <f t="shared" si="286"/>
        <v>6236852</v>
      </c>
      <c r="AR534" s="101">
        <v>0</v>
      </c>
      <c r="AS534" s="101">
        <v>0</v>
      </c>
      <c r="AT534" s="102" t="s">
        <v>34</v>
      </c>
      <c r="AU534" s="109" t="s">
        <v>118</v>
      </c>
      <c r="AV534" s="222">
        <v>0</v>
      </c>
      <c r="AW534" s="105">
        <v>1</v>
      </c>
      <c r="AX534" s="216">
        <f t="shared" si="287"/>
        <v>1.1209955520016024</v>
      </c>
      <c r="AY534" s="217">
        <f t="shared" si="288"/>
        <v>66573</v>
      </c>
      <c r="AZ534" s="107"/>
      <c r="BA534" s="94">
        <v>45518.083333333336</v>
      </c>
      <c r="BB534" s="94">
        <v>45518.086805555555</v>
      </c>
      <c r="BC534" s="94">
        <v>45518.170138888891</v>
      </c>
      <c r="BD534" s="94">
        <v>45518.315972222219</v>
      </c>
      <c r="BE534" s="95">
        <f t="shared" si="289"/>
        <v>0.23263888888322981</v>
      </c>
      <c r="BF534" s="95">
        <v>1.4583333333333334E-2</v>
      </c>
      <c r="BG534" s="95">
        <v>8.4027777777777785E-2</v>
      </c>
      <c r="BH534" s="95">
        <f t="shared" si="296"/>
        <v>3.4722222189884633E-3</v>
      </c>
      <c r="BI534" s="95">
        <f t="shared" si="296"/>
        <v>8.3333333335758653E-2</v>
      </c>
      <c r="BJ534" s="95">
        <f t="shared" si="296"/>
        <v>0.14583333332848269</v>
      </c>
      <c r="BK534" s="95">
        <f t="shared" si="291"/>
        <v>0.22916666666424135</v>
      </c>
      <c r="BL534" s="95">
        <f t="shared" si="292"/>
        <v>0.13055555555313023</v>
      </c>
      <c r="BM534" s="95">
        <f t="shared" si="293"/>
        <v>2.4305555549896468E-2</v>
      </c>
      <c r="BN534" s="110"/>
    </row>
    <row r="535" spans="1:66" s="8" customFormat="1" ht="12.75" customHeight="1" x14ac:dyDescent="0.25">
      <c r="A535" s="150">
        <v>483</v>
      </c>
      <c r="B535" s="150">
        <v>53</v>
      </c>
      <c r="C535" s="90">
        <v>16</v>
      </c>
      <c r="D535" s="111" t="s">
        <v>113</v>
      </c>
      <c r="E535" s="210" t="s">
        <v>551</v>
      </c>
      <c r="F535" s="150" t="s">
        <v>29</v>
      </c>
      <c r="G535" s="150" t="s">
        <v>8</v>
      </c>
      <c r="H535" s="150" t="s">
        <v>124</v>
      </c>
      <c r="I535" s="150" t="s">
        <v>721</v>
      </c>
      <c r="J535" s="151">
        <v>45518</v>
      </c>
      <c r="K535" s="135" t="s">
        <v>122</v>
      </c>
      <c r="L535" s="135">
        <v>261005922</v>
      </c>
      <c r="M535" s="151">
        <v>45518</v>
      </c>
      <c r="N535" s="220">
        <v>45518.378472222219</v>
      </c>
      <c r="O535" s="220">
        <v>45518.378472222219</v>
      </c>
      <c r="P535" s="152">
        <v>45518.388888888891</v>
      </c>
      <c r="Q535" s="152">
        <v>45518.583333333336</v>
      </c>
      <c r="R535" s="220" t="s">
        <v>118</v>
      </c>
      <c r="S535" s="152">
        <v>45518.736111111109</v>
      </c>
      <c r="T535" s="152">
        <v>45518.75</v>
      </c>
      <c r="U535" s="152">
        <v>45518.814583333333</v>
      </c>
      <c r="V535" s="219">
        <f t="shared" si="284"/>
        <v>0.20486111111677019</v>
      </c>
      <c r="W535" s="165">
        <v>0.20833333333333334</v>
      </c>
      <c r="X535" s="219" t="str">
        <f t="shared" si="285"/>
        <v>00:00</v>
      </c>
      <c r="Y535" s="96">
        <v>0</v>
      </c>
      <c r="Z535" s="96">
        <v>59</v>
      </c>
      <c r="AA535" s="96">
        <f t="shared" si="278"/>
        <v>59</v>
      </c>
      <c r="AB535" s="97">
        <f t="shared" si="279"/>
        <v>0</v>
      </c>
      <c r="AC535" s="97">
        <f t="shared" si="280"/>
        <v>3970.71</v>
      </c>
      <c r="AD535" s="98">
        <v>3970.71</v>
      </c>
      <c r="AE535" s="98">
        <v>4036.1</v>
      </c>
      <c r="AF535" s="98">
        <v>4048.2</v>
      </c>
      <c r="AG535" s="98">
        <f t="shared" si="281"/>
        <v>77.489999999999782</v>
      </c>
      <c r="AH535" s="99">
        <v>797.2</v>
      </c>
      <c r="AI535" s="100">
        <f t="shared" si="282"/>
        <v>3227225.04</v>
      </c>
      <c r="AJ535" s="100">
        <f>(1.8*AH535)*2</f>
        <v>2869.92</v>
      </c>
      <c r="AK535" s="100">
        <v>0</v>
      </c>
      <c r="AL535" s="100">
        <v>0</v>
      </c>
      <c r="AM535" s="100">
        <v>0</v>
      </c>
      <c r="AN535" s="100">
        <v>0</v>
      </c>
      <c r="AO535" s="100">
        <v>0</v>
      </c>
      <c r="AP535" s="100">
        <f t="shared" si="297"/>
        <v>161505</v>
      </c>
      <c r="AQ535" s="101">
        <f t="shared" si="286"/>
        <v>3391600</v>
      </c>
      <c r="AR535" s="101">
        <v>0</v>
      </c>
      <c r="AS535" s="101">
        <v>0</v>
      </c>
      <c r="AT535" s="102" t="s">
        <v>33</v>
      </c>
      <c r="AU535" s="109" t="s">
        <v>118</v>
      </c>
      <c r="AV535" s="222">
        <v>0</v>
      </c>
      <c r="AW535" s="105">
        <v>4</v>
      </c>
      <c r="AX535" s="216">
        <f t="shared" si="287"/>
        <v>1.9141840818141342</v>
      </c>
      <c r="AY535" s="217">
        <f t="shared" si="288"/>
        <v>61776</v>
      </c>
      <c r="AZ535" s="107"/>
      <c r="BA535" s="94">
        <v>45518.378472222219</v>
      </c>
      <c r="BB535" s="94">
        <v>45518.388888888891</v>
      </c>
      <c r="BC535" s="94">
        <v>45518.388888888891</v>
      </c>
      <c r="BD535" s="94">
        <v>45518.723611111112</v>
      </c>
      <c r="BE535" s="95">
        <f t="shared" si="289"/>
        <v>0.34513888889341615</v>
      </c>
      <c r="BF535" s="95">
        <v>1.5972222222222221E-2</v>
      </c>
      <c r="BG535" s="95">
        <v>0.19097222222222221</v>
      </c>
      <c r="BH535" s="95">
        <f t="shared" si="296"/>
        <v>1.0416666671517305E-2</v>
      </c>
      <c r="BI535" s="95">
        <f t="shared" si="296"/>
        <v>0</v>
      </c>
      <c r="BJ535" s="95">
        <f t="shared" si="296"/>
        <v>0.33472222222189885</v>
      </c>
      <c r="BK535" s="95">
        <f t="shared" si="291"/>
        <v>0.33472222222189885</v>
      </c>
      <c r="BL535" s="95">
        <f t="shared" si="292"/>
        <v>0.12777777777745442</v>
      </c>
      <c r="BM535" s="95">
        <f t="shared" si="293"/>
        <v>0.13680555556008281</v>
      </c>
      <c r="BN535" s="110"/>
    </row>
    <row r="536" spans="1:66" s="8" customFormat="1" ht="12.75" customHeight="1" x14ac:dyDescent="0.25">
      <c r="A536" s="150">
        <v>484</v>
      </c>
      <c r="B536" s="150">
        <v>54</v>
      </c>
      <c r="C536" s="90">
        <v>7</v>
      </c>
      <c r="D536" s="111" t="s">
        <v>113</v>
      </c>
      <c r="E536" s="210" t="s">
        <v>667</v>
      </c>
      <c r="F536" s="150" t="s">
        <v>27</v>
      </c>
      <c r="G536" s="150" t="s">
        <v>12</v>
      </c>
      <c r="H536" s="150" t="s">
        <v>115</v>
      </c>
      <c r="I536" s="150" t="s">
        <v>722</v>
      </c>
      <c r="J536" s="151">
        <v>45518</v>
      </c>
      <c r="K536" s="135" t="s">
        <v>117</v>
      </c>
      <c r="L536" s="135">
        <v>282001005</v>
      </c>
      <c r="M536" s="151">
        <v>45519</v>
      </c>
      <c r="N536" s="220">
        <v>45518.670138888891</v>
      </c>
      <c r="O536" s="220">
        <v>45518.670138888891</v>
      </c>
      <c r="P536" s="220">
        <v>45518.677083333336</v>
      </c>
      <c r="Q536" s="152">
        <v>45518.875</v>
      </c>
      <c r="R536" s="220" t="s">
        <v>118</v>
      </c>
      <c r="S536" s="152">
        <v>45518.989583333336</v>
      </c>
      <c r="T536" s="152">
        <v>45518.989583333336</v>
      </c>
      <c r="U536" s="152">
        <v>45519.143750000003</v>
      </c>
      <c r="V536" s="219">
        <f t="shared" si="284"/>
        <v>0.20486111110949423</v>
      </c>
      <c r="W536" s="165">
        <v>0.20833333333333334</v>
      </c>
      <c r="X536" s="219" t="str">
        <f t="shared" si="285"/>
        <v>00:00</v>
      </c>
      <c r="Y536" s="96">
        <v>0</v>
      </c>
      <c r="Z536" s="96">
        <v>59</v>
      </c>
      <c r="AA536" s="96">
        <f t="shared" si="278"/>
        <v>59</v>
      </c>
      <c r="AB536" s="97">
        <f t="shared" si="279"/>
        <v>0</v>
      </c>
      <c r="AC536" s="97">
        <f t="shared" si="280"/>
        <v>4018.9</v>
      </c>
      <c r="AD536" s="98">
        <v>4018.9</v>
      </c>
      <c r="AE536" s="98">
        <v>4048</v>
      </c>
      <c r="AF536" s="98">
        <v>4059.8</v>
      </c>
      <c r="AG536" s="98">
        <f t="shared" si="281"/>
        <v>40.900000000000091</v>
      </c>
      <c r="AH536" s="99">
        <v>1586.7</v>
      </c>
      <c r="AI536" s="100">
        <f t="shared" si="282"/>
        <v>6441684.6600000001</v>
      </c>
      <c r="AJ536" s="100">
        <f>(2.4*AH536)*2</f>
        <v>7616.16</v>
      </c>
      <c r="AK536" s="100">
        <v>0</v>
      </c>
      <c r="AL536" s="100">
        <v>0</v>
      </c>
      <c r="AM536" s="100">
        <v>0</v>
      </c>
      <c r="AN536" s="100">
        <v>0</v>
      </c>
      <c r="AO536" s="100">
        <f>IFERROR(AF536*20+(((AJ536/AH536)/2)*20),0)</f>
        <v>81244</v>
      </c>
      <c r="AP536" s="100">
        <f t="shared" si="297"/>
        <v>326528</v>
      </c>
      <c r="AQ536" s="101">
        <f t="shared" si="286"/>
        <v>6857073</v>
      </c>
      <c r="AR536" s="101">
        <v>0</v>
      </c>
      <c r="AS536" s="101">
        <v>0</v>
      </c>
      <c r="AT536" s="102" t="s">
        <v>33</v>
      </c>
      <c r="AU536" s="109" t="s">
        <v>118</v>
      </c>
      <c r="AV536" s="222">
        <v>0</v>
      </c>
      <c r="AW536" s="105">
        <v>2</v>
      </c>
      <c r="AX536" s="216">
        <f t="shared" si="287"/>
        <v>1.0074387900881838</v>
      </c>
      <c r="AY536" s="217">
        <f t="shared" si="288"/>
        <v>64897</v>
      </c>
      <c r="AZ536" s="107"/>
      <c r="BA536" s="94">
        <v>45518.670138888891</v>
      </c>
      <c r="BB536" s="94">
        <v>45518.677083333336</v>
      </c>
      <c r="BC536" s="94">
        <v>45518.753472222219</v>
      </c>
      <c r="BD536" s="94">
        <v>45518.972222222219</v>
      </c>
      <c r="BE536" s="95">
        <f t="shared" si="289"/>
        <v>0.30208333332848269</v>
      </c>
      <c r="BF536" s="95">
        <v>0</v>
      </c>
      <c r="BG536" s="95">
        <v>0.16527777777777777</v>
      </c>
      <c r="BH536" s="95">
        <f t="shared" si="296"/>
        <v>6.9444444452528842E-3</v>
      </c>
      <c r="BI536" s="95">
        <f t="shared" si="296"/>
        <v>7.6388888883229811E-2</v>
      </c>
      <c r="BJ536" s="95">
        <f t="shared" si="296"/>
        <v>0.21875</v>
      </c>
      <c r="BK536" s="95">
        <f t="shared" si="291"/>
        <v>0.29513888888322981</v>
      </c>
      <c r="BL536" s="95">
        <f t="shared" si="292"/>
        <v>0.12986111110545204</v>
      </c>
      <c r="BM536" s="95">
        <f t="shared" si="293"/>
        <v>9.3749999995149352E-2</v>
      </c>
      <c r="BN536" s="110"/>
    </row>
    <row r="537" spans="1:66" s="8" customFormat="1" ht="12.75" customHeight="1" x14ac:dyDescent="0.25">
      <c r="A537" s="150">
        <v>485</v>
      </c>
      <c r="B537" s="150">
        <v>55</v>
      </c>
      <c r="C537" s="90">
        <v>17</v>
      </c>
      <c r="D537" s="111" t="s">
        <v>148</v>
      </c>
      <c r="E537" s="210" t="s">
        <v>663</v>
      </c>
      <c r="F537" s="150" t="s">
        <v>16</v>
      </c>
      <c r="G537" s="150" t="s">
        <v>17</v>
      </c>
      <c r="H537" s="150" t="s">
        <v>150</v>
      </c>
      <c r="I537" s="150" t="s">
        <v>723</v>
      </c>
      <c r="J537" s="151">
        <v>45518</v>
      </c>
      <c r="K537" s="135" t="s">
        <v>122</v>
      </c>
      <c r="L537" s="135">
        <v>461000426</v>
      </c>
      <c r="M537" s="151">
        <v>45519</v>
      </c>
      <c r="N537" s="220">
        <v>45519.125</v>
      </c>
      <c r="O537" s="220">
        <v>45519.083333333336</v>
      </c>
      <c r="P537" s="152">
        <v>45519.128472222219</v>
      </c>
      <c r="Q537" s="152">
        <v>45519.333333333336</v>
      </c>
      <c r="R537" s="220">
        <v>45519.125</v>
      </c>
      <c r="S537" s="152">
        <v>45519.364583333336</v>
      </c>
      <c r="T537" s="152">
        <v>45519.375</v>
      </c>
      <c r="U537" s="152">
        <v>45519.489583333336</v>
      </c>
      <c r="V537" s="219">
        <f t="shared" si="284"/>
        <v>0.25</v>
      </c>
      <c r="W537" s="165">
        <v>0.20833333333333334</v>
      </c>
      <c r="X537" s="219">
        <f t="shared" si="285"/>
        <v>4.1666666666666657E-2</v>
      </c>
      <c r="Y537" s="96">
        <v>0</v>
      </c>
      <c r="Z537" s="96">
        <v>58</v>
      </c>
      <c r="AA537" s="96">
        <f t="shared" ref="AA537:AA600" si="298">+Y537+Z537</f>
        <v>58</v>
      </c>
      <c r="AB537" s="97">
        <f t="shared" ref="AB537:AB600" si="299">+AD537/AA537*Y537</f>
        <v>0</v>
      </c>
      <c r="AC537" s="97">
        <f t="shared" ref="AC537:AC600" si="300">+AD537/AA537*Z537</f>
        <v>3992.3500000000004</v>
      </c>
      <c r="AD537" s="98">
        <v>3992.35</v>
      </c>
      <c r="AE537" s="98">
        <v>3986.2</v>
      </c>
      <c r="AF537" s="98">
        <v>4010.4</v>
      </c>
      <c r="AG537" s="98">
        <f t="shared" ref="AG537:AG600" si="301">+AF537-AD537</f>
        <v>18.050000000000182</v>
      </c>
      <c r="AH537" s="99">
        <v>672.5</v>
      </c>
      <c r="AI537" s="100">
        <f t="shared" ref="AI537:AI600" si="302">+AF537*AH537</f>
        <v>2696994</v>
      </c>
      <c r="AJ537" s="100">
        <f>(0*AH537)*2</f>
        <v>0</v>
      </c>
      <c r="AK537" s="100">
        <v>0</v>
      </c>
      <c r="AL537" s="100">
        <v>24140</v>
      </c>
      <c r="AM537" s="100">
        <v>0</v>
      </c>
      <c r="AN537" s="100">
        <v>0</v>
      </c>
      <c r="AO537" s="100">
        <v>0</v>
      </c>
      <c r="AP537" s="100">
        <f t="shared" si="297"/>
        <v>136057</v>
      </c>
      <c r="AQ537" s="101">
        <f t="shared" si="286"/>
        <v>2857191</v>
      </c>
      <c r="AR537" s="101">
        <v>0</v>
      </c>
      <c r="AS537" s="101">
        <v>0</v>
      </c>
      <c r="AT537" s="102" t="s">
        <v>34</v>
      </c>
      <c r="AU537" s="109">
        <v>11</v>
      </c>
      <c r="AV537" s="222">
        <f>28.68-21.18</f>
        <v>7.5</v>
      </c>
      <c r="AW537" s="105">
        <v>1</v>
      </c>
      <c r="AX537" s="216">
        <f t="shared" si="287"/>
        <v>0.45007979253940211</v>
      </c>
      <c r="AY537" s="217">
        <f t="shared" si="288"/>
        <v>12139</v>
      </c>
      <c r="AZ537" s="107"/>
      <c r="BA537" s="94">
        <v>45519.125</v>
      </c>
      <c r="BB537" s="94">
        <v>45519.142361111109</v>
      </c>
      <c r="BC537" s="94">
        <v>45519.142361111109</v>
      </c>
      <c r="BD537" s="94">
        <v>45519.352083333331</v>
      </c>
      <c r="BE537" s="95">
        <f t="shared" si="289"/>
        <v>0.22708333333139308</v>
      </c>
      <c r="BF537" s="95">
        <v>2.7777777777777776E-2</v>
      </c>
      <c r="BG537" s="95">
        <v>6.9444444444444441E-3</v>
      </c>
      <c r="BH537" s="95">
        <f t="shared" si="296"/>
        <v>1.7361111109494232E-2</v>
      </c>
      <c r="BI537" s="95">
        <f t="shared" si="296"/>
        <v>0</v>
      </c>
      <c r="BJ537" s="95">
        <f t="shared" si="296"/>
        <v>0.20972222222189885</v>
      </c>
      <c r="BK537" s="95">
        <f t="shared" si="291"/>
        <v>0.20972222222189885</v>
      </c>
      <c r="BL537" s="95">
        <f t="shared" si="292"/>
        <v>0.17499999999967661</v>
      </c>
      <c r="BM537" s="95">
        <f t="shared" si="293"/>
        <v>1.8749999998059735E-2</v>
      </c>
      <c r="BN537" s="110" t="s">
        <v>724</v>
      </c>
    </row>
    <row r="538" spans="1:66" s="8" customFormat="1" ht="12.75" customHeight="1" x14ac:dyDescent="0.25">
      <c r="A538" s="150">
        <v>486</v>
      </c>
      <c r="B538" s="150">
        <v>56</v>
      </c>
      <c r="C538" s="90">
        <v>8</v>
      </c>
      <c r="D538" s="111" t="s">
        <v>113</v>
      </c>
      <c r="E538" s="210" t="s">
        <v>681</v>
      </c>
      <c r="F538" s="150" t="s">
        <v>27</v>
      </c>
      <c r="G538" s="150" t="s">
        <v>12</v>
      </c>
      <c r="H538" s="150" t="s">
        <v>115</v>
      </c>
      <c r="I538" s="150" t="s">
        <v>725</v>
      </c>
      <c r="J538" s="151">
        <v>45519</v>
      </c>
      <c r="K538" s="135" t="s">
        <v>117</v>
      </c>
      <c r="L538" s="135">
        <v>282001006</v>
      </c>
      <c r="M538" s="151">
        <v>45519</v>
      </c>
      <c r="N538" s="220">
        <v>45519.375</v>
      </c>
      <c r="O538" s="220">
        <v>45519.375</v>
      </c>
      <c r="P538" s="152">
        <v>45519.385416666664</v>
      </c>
      <c r="Q538" s="152">
        <v>45519.583333333336</v>
      </c>
      <c r="R538" s="220" t="s">
        <v>118</v>
      </c>
      <c r="S538" s="152" t="s">
        <v>118</v>
      </c>
      <c r="T538" s="152">
        <v>45519.604166666664</v>
      </c>
      <c r="U538" s="152">
        <v>45519.727083333331</v>
      </c>
      <c r="V538" s="219">
        <f t="shared" si="284"/>
        <v>0.20833333333575865</v>
      </c>
      <c r="W538" s="165">
        <v>0.20833333333333334</v>
      </c>
      <c r="X538" s="219">
        <f t="shared" si="285"/>
        <v>2.4253099528692701E-12</v>
      </c>
      <c r="Y538" s="96">
        <v>0</v>
      </c>
      <c r="Z538" s="96">
        <v>58</v>
      </c>
      <c r="AA538" s="96">
        <f t="shared" si="298"/>
        <v>58</v>
      </c>
      <c r="AB538" s="97">
        <f t="shared" si="299"/>
        <v>0</v>
      </c>
      <c r="AC538" s="97">
        <f t="shared" si="300"/>
        <v>3912.9000000000005</v>
      </c>
      <c r="AD538" s="98">
        <v>3912.9</v>
      </c>
      <c r="AE538" s="98">
        <v>3967.3</v>
      </c>
      <c r="AF538" s="98">
        <v>3980</v>
      </c>
      <c r="AG538" s="98">
        <f t="shared" si="301"/>
        <v>67.099999999999909</v>
      </c>
      <c r="AH538" s="99">
        <v>1586.7</v>
      </c>
      <c r="AI538" s="100">
        <f t="shared" si="302"/>
        <v>6315066</v>
      </c>
      <c r="AJ538" s="100">
        <f>(0.8*AH538)*2</f>
        <v>2538.7200000000003</v>
      </c>
      <c r="AK538" s="100">
        <v>0</v>
      </c>
      <c r="AL538" s="100">
        <v>0</v>
      </c>
      <c r="AM538" s="100">
        <v>0</v>
      </c>
      <c r="AN538" s="100">
        <v>0</v>
      </c>
      <c r="AO538" s="100">
        <f>IFERROR(AF538*20+(((AJ538/AH538)/2)*20),0)</f>
        <v>79616</v>
      </c>
      <c r="AP538" s="100">
        <f t="shared" si="297"/>
        <v>319862</v>
      </c>
      <c r="AQ538" s="101">
        <f t="shared" si="286"/>
        <v>6717083</v>
      </c>
      <c r="AR538" s="101">
        <v>0</v>
      </c>
      <c r="AS538" s="101">
        <v>0</v>
      </c>
      <c r="AT538" s="102" t="s">
        <v>34</v>
      </c>
      <c r="AU538" s="109" t="s">
        <v>118</v>
      </c>
      <c r="AV538" s="222">
        <v>0</v>
      </c>
      <c r="AW538" s="105">
        <v>0</v>
      </c>
      <c r="AX538" s="216">
        <f t="shared" si="287"/>
        <v>1.6859296482412036</v>
      </c>
      <c r="AY538" s="217">
        <f t="shared" si="288"/>
        <v>106468</v>
      </c>
      <c r="AZ538" s="107"/>
      <c r="BA538" s="94">
        <v>45519.375</v>
      </c>
      <c r="BB538" s="94">
        <v>45519.385416666664</v>
      </c>
      <c r="BC538" s="94">
        <v>45519.405555555553</v>
      </c>
      <c r="BD538" s="94">
        <v>45519.59375</v>
      </c>
      <c r="BE538" s="95">
        <f t="shared" si="289"/>
        <v>0.21875</v>
      </c>
      <c r="BF538" s="95">
        <v>0</v>
      </c>
      <c r="BG538" s="95">
        <v>7.4305555555555555E-2</v>
      </c>
      <c r="BH538" s="95">
        <f t="shared" si="296"/>
        <v>1.0416666664241347E-2</v>
      </c>
      <c r="BI538" s="95">
        <f t="shared" si="296"/>
        <v>2.0138888889050577E-2</v>
      </c>
      <c r="BJ538" s="95">
        <f t="shared" si="296"/>
        <v>0.18819444444670808</v>
      </c>
      <c r="BK538" s="95">
        <f t="shared" si="291"/>
        <v>0.20833333333575865</v>
      </c>
      <c r="BL538" s="95">
        <f t="shared" si="292"/>
        <v>0.13402777778020308</v>
      </c>
      <c r="BM538" s="95">
        <f t="shared" si="293"/>
        <v>1.0416666666666657E-2</v>
      </c>
      <c r="BN538" s="110"/>
    </row>
    <row r="539" spans="1:66" s="8" customFormat="1" ht="12.75" customHeight="1" x14ac:dyDescent="0.25">
      <c r="A539" s="150">
        <v>487</v>
      </c>
      <c r="B539" s="150">
        <v>57</v>
      </c>
      <c r="C539" s="90">
        <v>17</v>
      </c>
      <c r="D539" s="111" t="s">
        <v>113</v>
      </c>
      <c r="E539" s="210" t="s">
        <v>551</v>
      </c>
      <c r="F539" s="150" t="s">
        <v>29</v>
      </c>
      <c r="G539" s="150" t="s">
        <v>8</v>
      </c>
      <c r="H539" s="150" t="s">
        <v>124</v>
      </c>
      <c r="I539" s="150" t="s">
        <v>726</v>
      </c>
      <c r="J539" s="151">
        <v>45519</v>
      </c>
      <c r="K539" s="135" t="s">
        <v>122</v>
      </c>
      <c r="L539" s="135">
        <v>241000404</v>
      </c>
      <c r="M539" s="151">
        <v>45520</v>
      </c>
      <c r="N539" s="220">
        <v>45519.670138888891</v>
      </c>
      <c r="O539" s="220">
        <v>45519.670138888891</v>
      </c>
      <c r="P539" s="152">
        <v>45519.677083333336</v>
      </c>
      <c r="Q539" s="152">
        <v>45519.875</v>
      </c>
      <c r="R539" s="220" t="s">
        <v>118</v>
      </c>
      <c r="S539" s="152" t="s">
        <v>118</v>
      </c>
      <c r="T539" s="152">
        <v>45519.916666666664</v>
      </c>
      <c r="U539" s="152">
        <v>45519.991666666669</v>
      </c>
      <c r="V539" s="219">
        <f t="shared" si="284"/>
        <v>0.20486111110949423</v>
      </c>
      <c r="W539" s="165">
        <v>0.20833333333333334</v>
      </c>
      <c r="X539" s="219" t="str">
        <f t="shared" si="285"/>
        <v>00:00</v>
      </c>
      <c r="Y539" s="96">
        <v>0</v>
      </c>
      <c r="Z539" s="96">
        <v>59</v>
      </c>
      <c r="AA539" s="96">
        <f t="shared" si="298"/>
        <v>59</v>
      </c>
      <c r="AB539" s="97">
        <f t="shared" si="299"/>
        <v>0</v>
      </c>
      <c r="AC539" s="97">
        <f t="shared" si="300"/>
        <v>3940.0400000000004</v>
      </c>
      <c r="AD539" s="98">
        <v>3940.04</v>
      </c>
      <c r="AE539" s="98">
        <v>4029.5</v>
      </c>
      <c r="AF539" s="98">
        <v>4037</v>
      </c>
      <c r="AG539" s="98">
        <f t="shared" si="301"/>
        <v>96.960000000000036</v>
      </c>
      <c r="AH539" s="99">
        <v>797.2</v>
      </c>
      <c r="AI539" s="100">
        <f t="shared" si="302"/>
        <v>3218296.4000000004</v>
      </c>
      <c r="AJ539" s="100">
        <f>(0.8*AH539)*2</f>
        <v>1275.5200000000002</v>
      </c>
      <c r="AK539" s="100">
        <v>0</v>
      </c>
      <c r="AL539" s="100">
        <v>0</v>
      </c>
      <c r="AM539" s="100">
        <v>0</v>
      </c>
      <c r="AN539" s="100">
        <v>0</v>
      </c>
      <c r="AO539" s="100">
        <v>0</v>
      </c>
      <c r="AP539" s="100">
        <f t="shared" si="297"/>
        <v>160979</v>
      </c>
      <c r="AQ539" s="101">
        <f t="shared" si="286"/>
        <v>3380551</v>
      </c>
      <c r="AR539" s="101">
        <v>0</v>
      </c>
      <c r="AS539" s="101">
        <v>0</v>
      </c>
      <c r="AT539" s="102" t="s">
        <v>33</v>
      </c>
      <c r="AU539" s="109" t="s">
        <v>118</v>
      </c>
      <c r="AV539" s="222">
        <v>0</v>
      </c>
      <c r="AW539" s="105">
        <v>0</v>
      </c>
      <c r="AX539" s="216">
        <f t="shared" si="287"/>
        <v>2.4017835026009422</v>
      </c>
      <c r="AY539" s="217">
        <f t="shared" si="288"/>
        <v>77297</v>
      </c>
      <c r="AZ539" s="107"/>
      <c r="BA539" s="94">
        <v>45519.670138888891</v>
      </c>
      <c r="BB539" s="94">
        <v>45519.677083333336</v>
      </c>
      <c r="BC539" s="94">
        <v>45519.6875</v>
      </c>
      <c r="BD539" s="94">
        <v>45519.875</v>
      </c>
      <c r="BE539" s="95">
        <f t="shared" si="289"/>
        <v>0.20486111110949423</v>
      </c>
      <c r="BF539" s="95">
        <v>3.472222222222222E-3</v>
      </c>
      <c r="BG539" s="95">
        <v>5.6944444444444443E-2</v>
      </c>
      <c r="BH539" s="95">
        <f t="shared" si="296"/>
        <v>6.9444444452528842E-3</v>
      </c>
      <c r="BI539" s="95">
        <f t="shared" si="296"/>
        <v>1.0416666664241347E-2</v>
      </c>
      <c r="BJ539" s="95">
        <f t="shared" si="296"/>
        <v>0.1875</v>
      </c>
      <c r="BK539" s="95">
        <f t="shared" si="291"/>
        <v>0.19791666666424135</v>
      </c>
      <c r="BL539" s="95">
        <f t="shared" si="292"/>
        <v>0.1374999999975747</v>
      </c>
      <c r="BM539" s="95" t="str">
        <f t="shared" si="293"/>
        <v>00:00</v>
      </c>
      <c r="BN539" s="110"/>
    </row>
    <row r="540" spans="1:66" s="8" customFormat="1" ht="12.75" customHeight="1" x14ac:dyDescent="0.25">
      <c r="A540" s="150">
        <v>488</v>
      </c>
      <c r="B540" s="150">
        <v>58</v>
      </c>
      <c r="C540" s="90">
        <v>18</v>
      </c>
      <c r="D540" s="111" t="s">
        <v>148</v>
      </c>
      <c r="E540" s="210" t="s">
        <v>663</v>
      </c>
      <c r="F540" s="150" t="s">
        <v>16</v>
      </c>
      <c r="G540" s="150" t="s">
        <v>17</v>
      </c>
      <c r="H540" s="150" t="s">
        <v>150</v>
      </c>
      <c r="I540" s="150" t="s">
        <v>727</v>
      </c>
      <c r="J540" s="151">
        <v>45519</v>
      </c>
      <c r="K540" s="135" t="s">
        <v>117</v>
      </c>
      <c r="L540" s="135">
        <v>461000427</v>
      </c>
      <c r="M540" s="151">
        <v>45520</v>
      </c>
      <c r="N540" s="220">
        <v>45519.8125</v>
      </c>
      <c r="O540" s="220">
        <v>45519.8125</v>
      </c>
      <c r="P540" s="152">
        <v>45519.815972222219</v>
      </c>
      <c r="Q540" s="152">
        <v>45519.989583333336</v>
      </c>
      <c r="R540" s="220" t="s">
        <v>118</v>
      </c>
      <c r="S540" s="152">
        <v>45520.104166666664</v>
      </c>
      <c r="T540" s="152">
        <v>45520.125</v>
      </c>
      <c r="U540" s="152">
        <v>45520.201388888891</v>
      </c>
      <c r="V540" s="219">
        <f t="shared" si="284"/>
        <v>0.17708333333575865</v>
      </c>
      <c r="W540" s="165">
        <v>0.20833333333333334</v>
      </c>
      <c r="X540" s="219" t="str">
        <f t="shared" si="285"/>
        <v>00:00</v>
      </c>
      <c r="Y540" s="96">
        <v>15</v>
      </c>
      <c r="Z540" s="96">
        <v>44</v>
      </c>
      <c r="AA540" s="96">
        <f t="shared" si="298"/>
        <v>59</v>
      </c>
      <c r="AB540" s="97">
        <f t="shared" si="299"/>
        <v>1007.9288135593221</v>
      </c>
      <c r="AC540" s="97">
        <f t="shared" si="300"/>
        <v>2956.591186440678</v>
      </c>
      <c r="AD540" s="98">
        <v>3964.52</v>
      </c>
      <c r="AE540" s="98">
        <v>4036</v>
      </c>
      <c r="AF540" s="98">
        <v>4047.8</v>
      </c>
      <c r="AG540" s="98">
        <f t="shared" si="301"/>
        <v>83.2800000000002</v>
      </c>
      <c r="AH540" s="99">
        <v>672.5</v>
      </c>
      <c r="AI540" s="100">
        <f t="shared" si="302"/>
        <v>2722145.5</v>
      </c>
      <c r="AJ540" s="100">
        <f>(3.4*AH540)*2</f>
        <v>4573</v>
      </c>
      <c r="AK540" s="100">
        <v>0</v>
      </c>
      <c r="AL540" s="100">
        <v>0</v>
      </c>
      <c r="AM540" s="100">
        <v>0</v>
      </c>
      <c r="AN540" s="100">
        <v>0</v>
      </c>
      <c r="AO540" s="100">
        <v>0</v>
      </c>
      <c r="AP540" s="100">
        <f t="shared" si="297"/>
        <v>136336</v>
      </c>
      <c r="AQ540" s="101">
        <f t="shared" si="286"/>
        <v>2863055</v>
      </c>
      <c r="AR540" s="101">
        <v>0</v>
      </c>
      <c r="AS540" s="101">
        <v>0</v>
      </c>
      <c r="AT540" s="102" t="s">
        <v>33</v>
      </c>
      <c r="AU540" s="109" t="s">
        <v>118</v>
      </c>
      <c r="AV540" s="222">
        <v>0</v>
      </c>
      <c r="AW540" s="105">
        <v>2</v>
      </c>
      <c r="AX540" s="216">
        <f t="shared" si="287"/>
        <v>2.0574139038490094</v>
      </c>
      <c r="AY540" s="217">
        <f t="shared" si="288"/>
        <v>56006</v>
      </c>
      <c r="AZ540" s="107"/>
      <c r="BA540" s="94">
        <v>45519.8125</v>
      </c>
      <c r="BB540" s="94">
        <v>45519.815972222219</v>
      </c>
      <c r="BC540" s="94">
        <v>45519.909722222219</v>
      </c>
      <c r="BD540" s="94">
        <v>45520.102083333331</v>
      </c>
      <c r="BE540" s="95">
        <f t="shared" si="289"/>
        <v>0.28958333333139308</v>
      </c>
      <c r="BF540" s="95">
        <v>5.2777777777777778E-2</v>
      </c>
      <c r="BG540" s="95">
        <v>9.375E-2</v>
      </c>
      <c r="BH540" s="95">
        <f t="shared" si="296"/>
        <v>3.4722222189884633E-3</v>
      </c>
      <c r="BI540" s="95">
        <f t="shared" si="296"/>
        <v>9.375E-2</v>
      </c>
      <c r="BJ540" s="95">
        <f t="shared" si="296"/>
        <v>0.19236111111240461</v>
      </c>
      <c r="BK540" s="95">
        <f t="shared" si="291"/>
        <v>0.28611111111240461</v>
      </c>
      <c r="BL540" s="95">
        <f t="shared" si="292"/>
        <v>0.13958333333462683</v>
      </c>
      <c r="BM540" s="95">
        <f t="shared" si="293"/>
        <v>8.1249999998059735E-2</v>
      </c>
      <c r="BN540" s="110"/>
    </row>
    <row r="541" spans="1:66" s="8" customFormat="1" ht="12.75" customHeight="1" x14ac:dyDescent="0.25">
      <c r="A541" s="150">
        <v>489</v>
      </c>
      <c r="B541" s="150">
        <v>59</v>
      </c>
      <c r="C541" s="90">
        <v>19</v>
      </c>
      <c r="D541" s="111" t="s">
        <v>148</v>
      </c>
      <c r="E541" s="210" t="s">
        <v>663</v>
      </c>
      <c r="F541" s="150" t="s">
        <v>16</v>
      </c>
      <c r="G541" s="150" t="s">
        <v>17</v>
      </c>
      <c r="H541" s="150" t="s">
        <v>150</v>
      </c>
      <c r="I541" s="150" t="s">
        <v>728</v>
      </c>
      <c r="J541" s="151">
        <v>45519</v>
      </c>
      <c r="K541" s="135" t="s">
        <v>122</v>
      </c>
      <c r="L541" s="135">
        <v>461000428</v>
      </c>
      <c r="M541" s="151">
        <v>45520</v>
      </c>
      <c r="N541" s="220">
        <v>45520.270833333336</v>
      </c>
      <c r="O541" s="220">
        <v>45520.270833333336</v>
      </c>
      <c r="P541" s="152">
        <v>45520.277777777781</v>
      </c>
      <c r="Q541" s="152">
        <v>45520.479166666664</v>
      </c>
      <c r="R541" s="220" t="s">
        <v>118</v>
      </c>
      <c r="S541" s="152">
        <v>45520.510416666664</v>
      </c>
      <c r="T541" s="152">
        <v>45520.5625</v>
      </c>
      <c r="U541" s="152">
        <v>45520.670138888891</v>
      </c>
      <c r="V541" s="219">
        <f t="shared" si="284"/>
        <v>0.20833333332848269</v>
      </c>
      <c r="W541" s="165">
        <v>0.20833333333333334</v>
      </c>
      <c r="X541" s="219" t="str">
        <f t="shared" si="285"/>
        <v>00:00</v>
      </c>
      <c r="Y541" s="96">
        <v>0</v>
      </c>
      <c r="Z541" s="96">
        <v>59</v>
      </c>
      <c r="AA541" s="96">
        <f t="shared" si="298"/>
        <v>59</v>
      </c>
      <c r="AB541" s="97">
        <f t="shared" si="299"/>
        <v>0</v>
      </c>
      <c r="AC541" s="97">
        <f t="shared" si="300"/>
        <v>4015.0099999999998</v>
      </c>
      <c r="AD541" s="98">
        <v>4015.01</v>
      </c>
      <c r="AE541" s="98">
        <v>4088</v>
      </c>
      <c r="AF541" s="98">
        <v>4093.6</v>
      </c>
      <c r="AG541" s="98">
        <f t="shared" si="301"/>
        <v>78.589999999999691</v>
      </c>
      <c r="AH541" s="99">
        <v>672.5</v>
      </c>
      <c r="AI541" s="100">
        <f t="shared" si="302"/>
        <v>2752946</v>
      </c>
      <c r="AJ541" s="100">
        <f>(0*AH541)*2</f>
        <v>0</v>
      </c>
      <c r="AK541" s="100">
        <v>0</v>
      </c>
      <c r="AL541" s="100">
        <v>24290</v>
      </c>
      <c r="AM541" s="100">
        <v>0</v>
      </c>
      <c r="AN541" s="100">
        <v>0</v>
      </c>
      <c r="AO541" s="100">
        <v>0</v>
      </c>
      <c r="AP541" s="100">
        <f t="shared" si="297"/>
        <v>138862</v>
      </c>
      <c r="AQ541" s="101">
        <f t="shared" si="286"/>
        <v>2916098</v>
      </c>
      <c r="AR541" s="101">
        <v>0</v>
      </c>
      <c r="AS541" s="101">
        <v>0</v>
      </c>
      <c r="AT541" s="102" t="s">
        <v>33</v>
      </c>
      <c r="AU541" s="109">
        <v>3</v>
      </c>
      <c r="AV541" s="222">
        <f>11.27-4.77</f>
        <v>6.5</v>
      </c>
      <c r="AW541" s="105">
        <v>1</v>
      </c>
      <c r="AX541" s="216">
        <f t="shared" si="287"/>
        <v>1.9198260699628613</v>
      </c>
      <c r="AY541" s="217">
        <f t="shared" si="288"/>
        <v>52852</v>
      </c>
      <c r="AZ541" s="107"/>
      <c r="BA541" s="94">
        <v>45520.270833333336</v>
      </c>
      <c r="BB541" s="94">
        <v>45520.277777777781</v>
      </c>
      <c r="BC541" s="94">
        <v>45520.277777777781</v>
      </c>
      <c r="BD541" s="94">
        <v>45520.495138888888</v>
      </c>
      <c r="BE541" s="95">
        <f t="shared" si="289"/>
        <v>0.22430555555183673</v>
      </c>
      <c r="BF541" s="95">
        <v>4.027777777777778E-2</v>
      </c>
      <c r="BG541" s="95">
        <v>2.0833333333333333E-3</v>
      </c>
      <c r="BH541" s="95">
        <f t="shared" si="296"/>
        <v>6.9444444452528842E-3</v>
      </c>
      <c r="BI541" s="95">
        <f t="shared" si="296"/>
        <v>0</v>
      </c>
      <c r="BJ541" s="95">
        <f t="shared" si="296"/>
        <v>0.21736111110658385</v>
      </c>
      <c r="BK541" s="95">
        <f t="shared" si="291"/>
        <v>0.21736111110658385</v>
      </c>
      <c r="BL541" s="95">
        <f t="shared" si="292"/>
        <v>0.17499999999547275</v>
      </c>
      <c r="BM541" s="95">
        <f t="shared" si="293"/>
        <v>1.597222221850339E-2</v>
      </c>
      <c r="BN541" s="110"/>
    </row>
    <row r="542" spans="1:66" s="8" customFormat="1" ht="12.75" customHeight="1" x14ac:dyDescent="0.25">
      <c r="A542" s="153">
        <v>490</v>
      </c>
      <c r="B542" s="150">
        <v>60</v>
      </c>
      <c r="C542" s="90">
        <v>6</v>
      </c>
      <c r="D542" s="111" t="s">
        <v>113</v>
      </c>
      <c r="E542" s="210" t="s">
        <v>711</v>
      </c>
      <c r="F542" s="150" t="s">
        <v>32</v>
      </c>
      <c r="G542" s="150" t="s">
        <v>8</v>
      </c>
      <c r="H542" s="150" t="s">
        <v>146</v>
      </c>
      <c r="I542" s="150" t="s">
        <v>729</v>
      </c>
      <c r="J542" s="151">
        <v>45519</v>
      </c>
      <c r="K542" s="135" t="s">
        <v>117</v>
      </c>
      <c r="L542" s="135">
        <v>261005925</v>
      </c>
      <c r="M542" s="151">
        <v>45520</v>
      </c>
      <c r="N542" s="220">
        <v>45520.458333333336</v>
      </c>
      <c r="O542" s="220">
        <v>45520.458333333336</v>
      </c>
      <c r="P542" s="152">
        <v>45520.461805555555</v>
      </c>
      <c r="Q542" s="152">
        <v>45520.666666666664</v>
      </c>
      <c r="R542" s="220" t="s">
        <v>118</v>
      </c>
      <c r="S542" s="152" t="s">
        <v>118</v>
      </c>
      <c r="T542" s="152">
        <v>45520.71875</v>
      </c>
      <c r="U542" s="152">
        <v>45520.822222222225</v>
      </c>
      <c r="V542" s="219">
        <f t="shared" si="284"/>
        <v>0.20833333332848269</v>
      </c>
      <c r="W542" s="165">
        <v>0.20833333333333334</v>
      </c>
      <c r="X542" s="219" t="str">
        <f t="shared" si="285"/>
        <v>00:00</v>
      </c>
      <c r="Y542" s="96">
        <v>0</v>
      </c>
      <c r="Z542" s="96">
        <v>59</v>
      </c>
      <c r="AA542" s="96">
        <f t="shared" si="298"/>
        <v>59</v>
      </c>
      <c r="AB542" s="97">
        <f t="shared" si="299"/>
        <v>0</v>
      </c>
      <c r="AC542" s="97">
        <f t="shared" si="300"/>
        <v>4021.0300000000007</v>
      </c>
      <c r="AD542" s="98">
        <v>4021.03</v>
      </c>
      <c r="AE542" s="98">
        <v>4105.3999999999996</v>
      </c>
      <c r="AF542" s="98">
        <v>4111</v>
      </c>
      <c r="AG542" s="98">
        <f t="shared" si="301"/>
        <v>89.9699999999998</v>
      </c>
      <c r="AH542" s="99">
        <v>1398.7</v>
      </c>
      <c r="AI542" s="100">
        <f t="shared" si="302"/>
        <v>5750055.7000000002</v>
      </c>
      <c r="AJ542" s="100">
        <f>(0.2*AH542)*2</f>
        <v>559.48</v>
      </c>
      <c r="AK542" s="100">
        <v>0</v>
      </c>
      <c r="AL542" s="100">
        <v>0</v>
      </c>
      <c r="AM542" s="100">
        <v>0</v>
      </c>
      <c r="AN542" s="100">
        <v>0</v>
      </c>
      <c r="AO542" s="100">
        <v>0</v>
      </c>
      <c r="AP542" s="100">
        <f t="shared" si="297"/>
        <v>287531</v>
      </c>
      <c r="AQ542" s="101">
        <f t="shared" si="286"/>
        <v>6038147</v>
      </c>
      <c r="AR542" s="101">
        <v>0</v>
      </c>
      <c r="AS542" s="101">
        <v>0</v>
      </c>
      <c r="AT542" s="102" t="s">
        <v>33</v>
      </c>
      <c r="AU542" s="109" t="s">
        <v>118</v>
      </c>
      <c r="AV542" s="222">
        <v>0</v>
      </c>
      <c r="AW542" s="105">
        <v>0</v>
      </c>
      <c r="AX542" s="216">
        <f t="shared" si="287"/>
        <v>2.1885186086110386</v>
      </c>
      <c r="AY542" s="217">
        <f t="shared" si="288"/>
        <v>125842</v>
      </c>
      <c r="AZ542" s="107"/>
      <c r="BA542" s="94">
        <v>45520.458333333336</v>
      </c>
      <c r="BB542" s="94">
        <v>45520.461805555555</v>
      </c>
      <c r="BC542" s="94">
        <v>45520.533333333333</v>
      </c>
      <c r="BD542" s="94">
        <v>45520.669444444444</v>
      </c>
      <c r="BE542" s="95">
        <f t="shared" si="289"/>
        <v>0.21111111110803904</v>
      </c>
      <c r="BF542" s="95">
        <v>1.0416666666666666E-2</v>
      </c>
      <c r="BG542" s="95">
        <v>6.1111111111111109E-2</v>
      </c>
      <c r="BH542" s="95">
        <f t="shared" si="296"/>
        <v>3.4722222189884633E-3</v>
      </c>
      <c r="BI542" s="95">
        <f t="shared" si="296"/>
        <v>7.1527777778101154E-2</v>
      </c>
      <c r="BJ542" s="95">
        <f t="shared" si="296"/>
        <v>0.13611111111094942</v>
      </c>
      <c r="BK542" s="95">
        <f t="shared" si="291"/>
        <v>0.20763888888905058</v>
      </c>
      <c r="BL542" s="95">
        <f t="shared" si="292"/>
        <v>0.1361111111112728</v>
      </c>
      <c r="BM542" s="95">
        <f t="shared" si="293"/>
        <v>2.7777777747056975E-3</v>
      </c>
      <c r="BN542" s="110"/>
    </row>
    <row r="543" spans="1:66" s="8" customFormat="1" ht="12.75" customHeight="1" x14ac:dyDescent="0.25">
      <c r="A543" s="218">
        <v>491</v>
      </c>
      <c r="B543" s="218">
        <v>61</v>
      </c>
      <c r="C543" s="90">
        <v>20</v>
      </c>
      <c r="D543" s="111" t="s">
        <v>148</v>
      </c>
      <c r="E543" s="210" t="s">
        <v>663</v>
      </c>
      <c r="F543" s="115" t="s">
        <v>16</v>
      </c>
      <c r="G543" s="115" t="s">
        <v>17</v>
      </c>
      <c r="H543" s="115" t="s">
        <v>150</v>
      </c>
      <c r="I543" s="115" t="s">
        <v>730</v>
      </c>
      <c r="J543" s="117">
        <v>45520</v>
      </c>
      <c r="K543" s="116" t="s">
        <v>122</v>
      </c>
      <c r="L543" s="116">
        <v>461000429</v>
      </c>
      <c r="M543" s="117">
        <v>45521</v>
      </c>
      <c r="N543" s="213">
        <v>45520.708333333336</v>
      </c>
      <c r="O543" s="213">
        <v>45520.6875</v>
      </c>
      <c r="P543" s="118">
        <v>45520.715277777781</v>
      </c>
      <c r="Q543" s="118">
        <v>45520.895833333336</v>
      </c>
      <c r="R543" s="118">
        <v>45520.708333333336</v>
      </c>
      <c r="S543" s="118">
        <v>45520.947916666664</v>
      </c>
      <c r="T543" s="118">
        <v>45520.982638888891</v>
      </c>
      <c r="U543" s="118">
        <v>45521.071527777778</v>
      </c>
      <c r="V543" s="119">
        <f t="shared" si="284"/>
        <v>0.20833333333575865</v>
      </c>
      <c r="W543" s="119">
        <v>0.20833333333333334</v>
      </c>
      <c r="X543" s="119">
        <f t="shared" si="285"/>
        <v>2.4253099528692701E-12</v>
      </c>
      <c r="Y543" s="96">
        <v>0</v>
      </c>
      <c r="Z543" s="96">
        <v>14</v>
      </c>
      <c r="AA543" s="96">
        <f t="shared" si="298"/>
        <v>14</v>
      </c>
      <c r="AB543" s="97">
        <f t="shared" si="299"/>
        <v>0</v>
      </c>
      <c r="AC543" s="97">
        <f t="shared" si="300"/>
        <v>948.88999999999987</v>
      </c>
      <c r="AD543" s="98">
        <f>3890.18-2941.29</f>
        <v>948.88999999999987</v>
      </c>
      <c r="AE543" s="98">
        <f>3950.3-2988.8</f>
        <v>961.5</v>
      </c>
      <c r="AF543" s="98">
        <f>3958.2-2996.7</f>
        <v>961.5</v>
      </c>
      <c r="AG543" s="98">
        <f t="shared" si="301"/>
        <v>12.610000000000127</v>
      </c>
      <c r="AH543" s="99">
        <v>672.5</v>
      </c>
      <c r="AI543" s="100">
        <f t="shared" si="302"/>
        <v>646608.75</v>
      </c>
      <c r="AJ543" s="100">
        <f>(0.6*AH543)*2</f>
        <v>807</v>
      </c>
      <c r="AK543" s="100">
        <v>0</v>
      </c>
      <c r="AL543" s="100">
        <v>0</v>
      </c>
      <c r="AM543" s="100">
        <v>0</v>
      </c>
      <c r="AN543" s="100">
        <v>0</v>
      </c>
      <c r="AO543" s="100">
        <v>0</v>
      </c>
      <c r="AP543" s="100">
        <f>ROUNDUP(SUM(AI543:AO543)*5%,0)-1</f>
        <v>32370</v>
      </c>
      <c r="AQ543" s="101">
        <f t="shared" si="286"/>
        <v>679786</v>
      </c>
      <c r="AR543" s="101">
        <v>0</v>
      </c>
      <c r="AS543" s="101">
        <v>0</v>
      </c>
      <c r="AT543" s="137" t="s">
        <v>34</v>
      </c>
      <c r="AU543" s="120" t="s">
        <v>118</v>
      </c>
      <c r="AV543" s="121">
        <v>0</v>
      </c>
      <c r="AW543" s="139">
        <v>1</v>
      </c>
      <c r="AX543" s="216">
        <f t="shared" si="287"/>
        <v>1.3114924596984012</v>
      </c>
      <c r="AY543" s="217">
        <f t="shared" si="288"/>
        <v>8481</v>
      </c>
      <c r="AZ543" s="107"/>
      <c r="BA543" s="118">
        <v>45520.708333333336</v>
      </c>
      <c r="BB543" s="118">
        <v>45520.715277777781</v>
      </c>
      <c r="BC543" s="118">
        <v>45520.715277777781</v>
      </c>
      <c r="BD543" s="118">
        <v>45520.944444444445</v>
      </c>
      <c r="BE543" s="119">
        <f t="shared" si="289"/>
        <v>0.23611111110949423</v>
      </c>
      <c r="BF543" s="119">
        <v>6.5972222222222224E-2</v>
      </c>
      <c r="BG543" s="119">
        <v>0</v>
      </c>
      <c r="BH543" s="119">
        <f t="shared" si="296"/>
        <v>6.9444444452528842E-3</v>
      </c>
      <c r="BI543" s="119">
        <f t="shared" si="296"/>
        <v>0</v>
      </c>
      <c r="BJ543" s="119">
        <f t="shared" si="296"/>
        <v>0.22916666666424135</v>
      </c>
      <c r="BK543" s="119">
        <f t="shared" si="291"/>
        <v>0.22916666666424135</v>
      </c>
      <c r="BL543" s="119">
        <f t="shared" si="292"/>
        <v>0.16319444444201914</v>
      </c>
      <c r="BM543" s="119">
        <f t="shared" si="293"/>
        <v>2.7777777776160889E-2</v>
      </c>
      <c r="BN543" s="110" t="s">
        <v>731</v>
      </c>
    </row>
    <row r="544" spans="1:66" s="8" customFormat="1" ht="12.75" customHeight="1" x14ac:dyDescent="0.25">
      <c r="A544" s="218"/>
      <c r="B544" s="218"/>
      <c r="C544" s="90">
        <v>1</v>
      </c>
      <c r="D544" s="111" t="s">
        <v>148</v>
      </c>
      <c r="E544" s="210" t="s">
        <v>732</v>
      </c>
      <c r="F544" s="122"/>
      <c r="G544" s="122"/>
      <c r="H544" s="122"/>
      <c r="I544" s="122"/>
      <c r="J544" s="124"/>
      <c r="K544" s="123"/>
      <c r="L544" s="123"/>
      <c r="M544" s="124"/>
      <c r="N544" s="221"/>
      <c r="O544" s="221"/>
      <c r="P544" s="125"/>
      <c r="Q544" s="125"/>
      <c r="R544" s="125"/>
      <c r="S544" s="125"/>
      <c r="T544" s="125"/>
      <c r="U544" s="125"/>
      <c r="V544" s="126"/>
      <c r="W544" s="126"/>
      <c r="X544" s="126"/>
      <c r="Y544" s="96">
        <v>0</v>
      </c>
      <c r="Z544" s="96">
        <v>43</v>
      </c>
      <c r="AA544" s="96">
        <f t="shared" si="298"/>
        <v>43</v>
      </c>
      <c r="AB544" s="97">
        <f t="shared" si="299"/>
        <v>0</v>
      </c>
      <c r="AC544" s="97">
        <f t="shared" si="300"/>
        <v>2941.29</v>
      </c>
      <c r="AD544" s="98">
        <v>2941.29</v>
      </c>
      <c r="AE544" s="98">
        <v>2988.8</v>
      </c>
      <c r="AF544" s="98">
        <v>2996.7</v>
      </c>
      <c r="AG544" s="98">
        <f t="shared" si="301"/>
        <v>55.409999999999854</v>
      </c>
      <c r="AH544" s="99">
        <v>672.5</v>
      </c>
      <c r="AI544" s="100">
        <f t="shared" si="302"/>
        <v>2015280.7499999998</v>
      </c>
      <c r="AJ544" s="100">
        <f>(0*AH544)*2</f>
        <v>0</v>
      </c>
      <c r="AK544" s="100">
        <v>0</v>
      </c>
      <c r="AL544" s="100">
        <v>0</v>
      </c>
      <c r="AM544" s="100">
        <v>0</v>
      </c>
      <c r="AN544" s="100">
        <v>0</v>
      </c>
      <c r="AO544" s="100">
        <v>0</v>
      </c>
      <c r="AP544" s="100">
        <f t="shared" ref="AP544:AP571" si="303">ROUNDUP(SUM(AI544:AO544)*5%,0)</f>
        <v>100765</v>
      </c>
      <c r="AQ544" s="101">
        <f t="shared" si="286"/>
        <v>2116046</v>
      </c>
      <c r="AR544" s="101">
        <v>0</v>
      </c>
      <c r="AS544" s="101">
        <v>0</v>
      </c>
      <c r="AT544" s="138"/>
      <c r="AU544" s="127"/>
      <c r="AV544" s="128"/>
      <c r="AW544" s="143"/>
      <c r="AX544" s="216">
        <f t="shared" si="287"/>
        <v>1.8490339373310596</v>
      </c>
      <c r="AY544" s="217">
        <f t="shared" si="288"/>
        <v>37264</v>
      </c>
      <c r="AZ544" s="107"/>
      <c r="BA544" s="125"/>
      <c r="BB544" s="125"/>
      <c r="BC544" s="125"/>
      <c r="BD544" s="125"/>
      <c r="BE544" s="126"/>
      <c r="BF544" s="126"/>
      <c r="BG544" s="126"/>
      <c r="BH544" s="126"/>
      <c r="BI544" s="126"/>
      <c r="BJ544" s="126"/>
      <c r="BK544" s="126"/>
      <c r="BL544" s="126"/>
      <c r="BM544" s="126"/>
      <c r="BN544" s="110" t="s">
        <v>733</v>
      </c>
    </row>
    <row r="545" spans="1:66" s="8" customFormat="1" ht="12.75" customHeight="1" x14ac:dyDescent="0.25">
      <c r="A545" s="150">
        <v>492</v>
      </c>
      <c r="B545" s="150">
        <v>62</v>
      </c>
      <c r="C545" s="90">
        <v>18</v>
      </c>
      <c r="D545" s="111" t="s">
        <v>113</v>
      </c>
      <c r="E545" s="210" t="s">
        <v>551</v>
      </c>
      <c r="F545" s="150" t="s">
        <v>29</v>
      </c>
      <c r="G545" s="150" t="s">
        <v>8</v>
      </c>
      <c r="H545" s="150" t="s">
        <v>124</v>
      </c>
      <c r="I545" s="150" t="s">
        <v>734</v>
      </c>
      <c r="J545" s="151">
        <v>45520</v>
      </c>
      <c r="K545" s="135" t="s">
        <v>117</v>
      </c>
      <c r="L545" s="135">
        <v>461000430</v>
      </c>
      <c r="M545" s="151">
        <v>45521</v>
      </c>
      <c r="N545" s="220">
        <v>45520.854166666664</v>
      </c>
      <c r="O545" s="220">
        <v>45520.822916666664</v>
      </c>
      <c r="P545" s="152">
        <v>45520.857638888891</v>
      </c>
      <c r="Q545" s="152">
        <v>45520.993055555555</v>
      </c>
      <c r="R545" s="220">
        <v>45520.854166666664</v>
      </c>
      <c r="S545" s="152">
        <v>45521.1875</v>
      </c>
      <c r="T545" s="152">
        <v>45521.243055555555</v>
      </c>
      <c r="U545" s="152">
        <v>45521.361805555556</v>
      </c>
      <c r="V545" s="219">
        <f t="shared" ref="V545:V564" si="304">+Q545-O545</f>
        <v>0.17013888889050577</v>
      </c>
      <c r="W545" s="165">
        <v>0.20833333333333334</v>
      </c>
      <c r="X545" s="219" t="str">
        <f t="shared" ref="X545:X564" si="305">IF(VALUE(V545)&lt;=VALUE("05:00"),"00:00",VALUE(V545)-VALUE("05:00"))</f>
        <v>00:00</v>
      </c>
      <c r="Y545" s="96">
        <v>0</v>
      </c>
      <c r="Z545" s="96">
        <v>59</v>
      </c>
      <c r="AA545" s="96">
        <f t="shared" si="298"/>
        <v>59</v>
      </c>
      <c r="AB545" s="97">
        <f t="shared" si="299"/>
        <v>0</v>
      </c>
      <c r="AC545" s="97">
        <f t="shared" si="300"/>
        <v>4030.34</v>
      </c>
      <c r="AD545" s="98">
        <v>4030.34</v>
      </c>
      <c r="AE545" s="98">
        <v>4097.2</v>
      </c>
      <c r="AF545" s="98">
        <v>4101.8</v>
      </c>
      <c r="AG545" s="98">
        <f t="shared" si="301"/>
        <v>71.460000000000036</v>
      </c>
      <c r="AH545" s="99">
        <v>797.2</v>
      </c>
      <c r="AI545" s="100">
        <f t="shared" si="302"/>
        <v>3269954.9600000004</v>
      </c>
      <c r="AJ545" s="100">
        <f>(0.4*AH545)*2</f>
        <v>637.7600000000001</v>
      </c>
      <c r="AK545" s="100">
        <v>0</v>
      </c>
      <c r="AL545" s="100">
        <v>0</v>
      </c>
      <c r="AM545" s="100">
        <v>0</v>
      </c>
      <c r="AN545" s="100">
        <v>0</v>
      </c>
      <c r="AO545" s="100">
        <v>0</v>
      </c>
      <c r="AP545" s="100">
        <f t="shared" si="303"/>
        <v>163530</v>
      </c>
      <c r="AQ545" s="101">
        <f t="shared" si="286"/>
        <v>3434123</v>
      </c>
      <c r="AR545" s="101">
        <v>0</v>
      </c>
      <c r="AS545" s="101">
        <v>0</v>
      </c>
      <c r="AT545" s="102" t="s">
        <v>33</v>
      </c>
      <c r="AU545" s="109" t="s">
        <v>118</v>
      </c>
      <c r="AV545" s="222">
        <v>0</v>
      </c>
      <c r="AW545" s="105">
        <v>3</v>
      </c>
      <c r="AX545" s="216">
        <f t="shared" si="287"/>
        <v>1.7421619776683415</v>
      </c>
      <c r="AY545" s="217">
        <f t="shared" si="288"/>
        <v>56968</v>
      </c>
      <c r="AZ545" s="107"/>
      <c r="BA545" s="94">
        <v>45520.854166666664</v>
      </c>
      <c r="BB545" s="94">
        <v>45520.857638888891</v>
      </c>
      <c r="BC545" s="94">
        <v>45520.989583333336</v>
      </c>
      <c r="BD545" s="94">
        <v>45521.188194444447</v>
      </c>
      <c r="BE545" s="95">
        <f t="shared" ref="BE545:BE564" si="306">+BD545-BA545</f>
        <v>0.33402777778246673</v>
      </c>
      <c r="BF545" s="95">
        <v>0.05</v>
      </c>
      <c r="BG545" s="95">
        <v>0.11736111111111111</v>
      </c>
      <c r="BH545" s="95">
        <f t="shared" ref="BH545:BJ564" si="307">+BB545-BA545</f>
        <v>3.4722222262644209E-3</v>
      </c>
      <c r="BI545" s="95">
        <f t="shared" si="307"/>
        <v>0.13194444444525288</v>
      </c>
      <c r="BJ545" s="95">
        <f t="shared" si="307"/>
        <v>0.19861111111094942</v>
      </c>
      <c r="BK545" s="95">
        <f t="shared" ref="BK545:BK564" si="308">+BI545+BJ545</f>
        <v>0.33055555555620231</v>
      </c>
      <c r="BL545" s="95">
        <f t="shared" ref="BL545:BL564" si="309">+BE545-BH545-BF545-BG545</f>
        <v>0.16319444444509121</v>
      </c>
      <c r="BM545" s="95">
        <f t="shared" ref="BM545:BM564" si="310">IF(VALUE(BE545)&lt;=VALUE("05:00"),"00:00",VALUE(BE545)-VALUE("05:00"))</f>
        <v>0.12569444444913339</v>
      </c>
      <c r="BN545" s="110"/>
    </row>
    <row r="546" spans="1:66" s="8" customFormat="1" ht="12.75" customHeight="1" x14ac:dyDescent="0.25">
      <c r="A546" s="150">
        <v>493</v>
      </c>
      <c r="B546" s="150">
        <v>63</v>
      </c>
      <c r="C546" s="90">
        <v>2</v>
      </c>
      <c r="D546" s="111" t="s">
        <v>148</v>
      </c>
      <c r="E546" s="210" t="s">
        <v>732</v>
      </c>
      <c r="F546" s="150" t="s">
        <v>16</v>
      </c>
      <c r="G546" s="150" t="s">
        <v>17</v>
      </c>
      <c r="H546" s="150" t="s">
        <v>150</v>
      </c>
      <c r="I546" s="150" t="s">
        <v>735</v>
      </c>
      <c r="J546" s="151">
        <v>45520</v>
      </c>
      <c r="K546" s="135" t="s">
        <v>122</v>
      </c>
      <c r="L546" s="135">
        <v>441000011</v>
      </c>
      <c r="M546" s="151">
        <v>45521</v>
      </c>
      <c r="N546" s="220">
        <v>45521.145833333336</v>
      </c>
      <c r="O546" s="220">
        <v>45521.145833333336</v>
      </c>
      <c r="P546" s="152">
        <v>45521.149305555555</v>
      </c>
      <c r="Q546" s="152">
        <v>45521.354166666664</v>
      </c>
      <c r="R546" s="220" t="s">
        <v>118</v>
      </c>
      <c r="S546" s="152">
        <v>45521.46875</v>
      </c>
      <c r="T546" s="152">
        <v>45521.479166666664</v>
      </c>
      <c r="U546" s="152">
        <v>45521.611111111109</v>
      </c>
      <c r="V546" s="219">
        <f t="shared" si="304"/>
        <v>0.20833333332848269</v>
      </c>
      <c r="W546" s="165">
        <v>0.20833333333333334</v>
      </c>
      <c r="X546" s="219" t="str">
        <f t="shared" si="305"/>
        <v>00:00</v>
      </c>
      <c r="Y546" s="96">
        <v>0</v>
      </c>
      <c r="Z546" s="96">
        <v>58</v>
      </c>
      <c r="AA546" s="96">
        <f t="shared" si="298"/>
        <v>58</v>
      </c>
      <c r="AB546" s="97">
        <f t="shared" si="299"/>
        <v>0</v>
      </c>
      <c r="AC546" s="97">
        <f t="shared" si="300"/>
        <v>3988.16</v>
      </c>
      <c r="AD546" s="98">
        <v>3988.16</v>
      </c>
      <c r="AE546" s="98">
        <v>4040.4</v>
      </c>
      <c r="AF546" s="98">
        <v>4046.6</v>
      </c>
      <c r="AG546" s="98">
        <f t="shared" si="301"/>
        <v>58.440000000000055</v>
      </c>
      <c r="AH546" s="99">
        <v>672.5</v>
      </c>
      <c r="AI546" s="100">
        <f t="shared" si="302"/>
        <v>2721338.5</v>
      </c>
      <c r="AJ546" s="100">
        <f>(0*AH546)*2</f>
        <v>0</v>
      </c>
      <c r="AK546" s="100">
        <v>0</v>
      </c>
      <c r="AL546" s="100">
        <v>24140</v>
      </c>
      <c r="AM546" s="100">
        <v>0</v>
      </c>
      <c r="AN546" s="100">
        <v>0</v>
      </c>
      <c r="AO546" s="100">
        <v>0</v>
      </c>
      <c r="AP546" s="100">
        <f t="shared" si="303"/>
        <v>137274</v>
      </c>
      <c r="AQ546" s="101">
        <f t="shared" si="286"/>
        <v>2882753</v>
      </c>
      <c r="AR546" s="101">
        <v>0</v>
      </c>
      <c r="AS546" s="101">
        <v>0</v>
      </c>
      <c r="AT546" s="102" t="s">
        <v>34</v>
      </c>
      <c r="AU546" s="109">
        <v>3</v>
      </c>
      <c r="AV546" s="222">
        <f>7.48-5.48</f>
        <v>2</v>
      </c>
      <c r="AW546" s="105">
        <v>3</v>
      </c>
      <c r="AX546" s="216">
        <f t="shared" si="287"/>
        <v>1.4441753570899041</v>
      </c>
      <c r="AY546" s="217">
        <f t="shared" si="288"/>
        <v>39301</v>
      </c>
      <c r="AZ546" s="107"/>
      <c r="BA546" s="94">
        <v>45521.145833333336</v>
      </c>
      <c r="BB546" s="94">
        <v>45521.149305555555</v>
      </c>
      <c r="BC546" s="94">
        <v>45521.211805555555</v>
      </c>
      <c r="BD546" s="94">
        <v>45521.451388888891</v>
      </c>
      <c r="BE546" s="95">
        <f t="shared" si="306"/>
        <v>0.30555555555474712</v>
      </c>
      <c r="BF546" s="95">
        <v>9.166666666666666E-2</v>
      </c>
      <c r="BG546" s="95">
        <v>4.583333333333333E-2</v>
      </c>
      <c r="BH546" s="95">
        <f t="shared" si="307"/>
        <v>3.4722222189884633E-3</v>
      </c>
      <c r="BI546" s="95">
        <f t="shared" si="307"/>
        <v>6.25E-2</v>
      </c>
      <c r="BJ546" s="95">
        <f t="shared" si="307"/>
        <v>0.23958333333575865</v>
      </c>
      <c r="BK546" s="95">
        <f t="shared" si="308"/>
        <v>0.30208333333575865</v>
      </c>
      <c r="BL546" s="95">
        <f t="shared" si="309"/>
        <v>0.16458333333575864</v>
      </c>
      <c r="BM546" s="95">
        <f t="shared" si="310"/>
        <v>9.7222222221413773E-2</v>
      </c>
      <c r="BN546" s="110"/>
    </row>
    <row r="547" spans="1:66" s="8" customFormat="1" ht="12.75" customHeight="1" x14ac:dyDescent="0.25">
      <c r="A547" s="150">
        <v>494</v>
      </c>
      <c r="B547" s="150">
        <v>64</v>
      </c>
      <c r="C547" s="90">
        <v>14</v>
      </c>
      <c r="D547" s="111" t="s">
        <v>113</v>
      </c>
      <c r="E547" s="210" t="s">
        <v>366</v>
      </c>
      <c r="F547" s="150" t="s">
        <v>13</v>
      </c>
      <c r="G547" s="150" t="s">
        <v>8</v>
      </c>
      <c r="H547" s="150" t="s">
        <v>131</v>
      </c>
      <c r="I547" s="150" t="s">
        <v>736</v>
      </c>
      <c r="J547" s="151">
        <v>45521</v>
      </c>
      <c r="K547" s="135" t="s">
        <v>117</v>
      </c>
      <c r="L547" s="135">
        <v>282001007</v>
      </c>
      <c r="M547" s="151">
        <v>45522</v>
      </c>
      <c r="N547" s="220">
        <v>45521.538194444445</v>
      </c>
      <c r="O547" s="220">
        <v>45521.538194444445</v>
      </c>
      <c r="P547" s="152">
        <v>45521.545138888891</v>
      </c>
      <c r="Q547" s="152">
        <v>45521.746527777781</v>
      </c>
      <c r="R547" s="220" t="s">
        <v>118</v>
      </c>
      <c r="S547" s="152" t="s">
        <v>118</v>
      </c>
      <c r="T547" s="152">
        <v>45521.805555555555</v>
      </c>
      <c r="U547" s="152">
        <v>45521.963194444441</v>
      </c>
      <c r="V547" s="219">
        <f t="shared" si="304"/>
        <v>0.20833333333575865</v>
      </c>
      <c r="W547" s="165">
        <v>0.20833333333333334</v>
      </c>
      <c r="X547" s="219">
        <f t="shared" si="305"/>
        <v>2.4253099528692701E-12</v>
      </c>
      <c r="Y547" s="96">
        <v>1</v>
      </c>
      <c r="Z547" s="96">
        <v>57</v>
      </c>
      <c r="AA547" s="96">
        <f t="shared" si="298"/>
        <v>58</v>
      </c>
      <c r="AB547" s="97">
        <f t="shared" si="299"/>
        <v>64.93586206896552</v>
      </c>
      <c r="AC547" s="97">
        <f t="shared" si="300"/>
        <v>3701.3441379310348</v>
      </c>
      <c r="AD547" s="98">
        <v>3766.28</v>
      </c>
      <c r="AE547" s="98">
        <v>4016.1</v>
      </c>
      <c r="AF547" s="98">
        <v>4016.2</v>
      </c>
      <c r="AG547" s="98">
        <f t="shared" si="301"/>
        <v>249.91999999999962</v>
      </c>
      <c r="AH547" s="99">
        <v>1398.7</v>
      </c>
      <c r="AI547" s="100">
        <f t="shared" si="302"/>
        <v>5617458.9399999995</v>
      </c>
      <c r="AJ547" s="100">
        <f>(0*AH547)*2</f>
        <v>0</v>
      </c>
      <c r="AK547" s="100">
        <v>0</v>
      </c>
      <c r="AL547" s="100">
        <v>0</v>
      </c>
      <c r="AM547" s="100">
        <v>0</v>
      </c>
      <c r="AN547" s="100">
        <v>0</v>
      </c>
      <c r="AO547" s="100">
        <v>0</v>
      </c>
      <c r="AP547" s="100">
        <f t="shared" si="303"/>
        <v>280873</v>
      </c>
      <c r="AQ547" s="101">
        <f t="shared" ref="AQ547:AQ571" si="311">ROUNDUP(SUM(AI547:AP547),0)</f>
        <v>5898332</v>
      </c>
      <c r="AR547" s="101">
        <v>0</v>
      </c>
      <c r="AS547" s="101">
        <v>0</v>
      </c>
      <c r="AT547" s="102" t="s">
        <v>34</v>
      </c>
      <c r="AU547" s="109" t="s">
        <v>118</v>
      </c>
      <c r="AV547" s="222">
        <v>0</v>
      </c>
      <c r="AW547" s="105">
        <v>0</v>
      </c>
      <c r="AX547" s="216">
        <f t="shared" ref="AX547:AX563" si="312">IFERROR((AG547/AF547)*100, "")</f>
        <v>6.2227976694387639</v>
      </c>
      <c r="AY547" s="217">
        <f t="shared" ref="AY547:AY563" si="313">ROUNDUP(AG547*AH547,0)</f>
        <v>349564</v>
      </c>
      <c r="AZ547" s="107"/>
      <c r="BA547" s="94">
        <v>45521.538194444445</v>
      </c>
      <c r="BB547" s="94">
        <v>45521.545138888891</v>
      </c>
      <c r="BC547" s="94">
        <v>45521.583333333336</v>
      </c>
      <c r="BD547" s="94">
        <v>45521.722916666666</v>
      </c>
      <c r="BE547" s="95">
        <f t="shared" si="306"/>
        <v>0.18472222222044365</v>
      </c>
      <c r="BF547" s="95">
        <v>2.7777777777777776E-2</v>
      </c>
      <c r="BG547" s="95">
        <v>2.6388888888888889E-2</v>
      </c>
      <c r="BH547" s="95">
        <f t="shared" si="307"/>
        <v>6.9444444452528842E-3</v>
      </c>
      <c r="BI547" s="95">
        <f t="shared" si="307"/>
        <v>3.8194444445252884E-2</v>
      </c>
      <c r="BJ547" s="95">
        <f t="shared" si="307"/>
        <v>0.13958333332993789</v>
      </c>
      <c r="BK547" s="95">
        <f t="shared" si="308"/>
        <v>0.17777777777519077</v>
      </c>
      <c r="BL547" s="95">
        <f t="shared" si="309"/>
        <v>0.12361111110852409</v>
      </c>
      <c r="BM547" s="95" t="str">
        <f t="shared" si="310"/>
        <v>00:00</v>
      </c>
      <c r="BN547" s="110"/>
    </row>
    <row r="548" spans="1:66" s="8" customFormat="1" ht="12.75" customHeight="1" x14ac:dyDescent="0.25">
      <c r="A548" s="150">
        <v>495</v>
      </c>
      <c r="B548" s="150">
        <v>65</v>
      </c>
      <c r="C548" s="90">
        <v>3</v>
      </c>
      <c r="D548" s="111" t="s">
        <v>148</v>
      </c>
      <c r="E548" s="210" t="s">
        <v>732</v>
      </c>
      <c r="F548" s="150" t="s">
        <v>16</v>
      </c>
      <c r="G548" s="150" t="s">
        <v>17</v>
      </c>
      <c r="H548" s="150" t="s">
        <v>150</v>
      </c>
      <c r="I548" s="150" t="s">
        <v>737</v>
      </c>
      <c r="J548" s="151">
        <v>45520</v>
      </c>
      <c r="K548" s="135" t="s">
        <v>122</v>
      </c>
      <c r="L548" s="135">
        <v>461000431</v>
      </c>
      <c r="M548" s="151">
        <v>45522</v>
      </c>
      <c r="N548" s="220">
        <v>45521.708333333336</v>
      </c>
      <c r="O548" s="220">
        <v>45521.708333333336</v>
      </c>
      <c r="P548" s="152">
        <v>45521.715277777781</v>
      </c>
      <c r="Q548" s="152">
        <v>45521.916666666664</v>
      </c>
      <c r="R548" s="220" t="s">
        <v>118</v>
      </c>
      <c r="S548" s="152">
        <v>45521.989583333336</v>
      </c>
      <c r="T548" s="152">
        <v>45522.013888888891</v>
      </c>
      <c r="U548" s="152">
        <v>45522.105555555558</v>
      </c>
      <c r="V548" s="219">
        <f t="shared" si="304"/>
        <v>0.20833333332848269</v>
      </c>
      <c r="W548" s="165">
        <v>0.20833333333333334</v>
      </c>
      <c r="X548" s="219" t="str">
        <f t="shared" si="305"/>
        <v>00:00</v>
      </c>
      <c r="Y548" s="96">
        <v>0</v>
      </c>
      <c r="Z548" s="96">
        <v>58</v>
      </c>
      <c r="AA548" s="96">
        <f t="shared" si="298"/>
        <v>58</v>
      </c>
      <c r="AB548" s="97">
        <f t="shared" si="299"/>
        <v>0</v>
      </c>
      <c r="AC548" s="97">
        <f t="shared" si="300"/>
        <v>4005.99</v>
      </c>
      <c r="AD548" s="98">
        <v>4005.99</v>
      </c>
      <c r="AE548" s="98">
        <v>4039.6</v>
      </c>
      <c r="AF548" s="98">
        <v>4049</v>
      </c>
      <c r="AG548" s="98">
        <f t="shared" si="301"/>
        <v>43.010000000000218</v>
      </c>
      <c r="AH548" s="99">
        <v>672.5</v>
      </c>
      <c r="AI548" s="100">
        <f t="shared" si="302"/>
        <v>2722952.5</v>
      </c>
      <c r="AJ548" s="100">
        <f>(1*AH548)*2</f>
        <v>1345</v>
      </c>
      <c r="AK548" s="100">
        <v>0</v>
      </c>
      <c r="AL548" s="100">
        <v>0</v>
      </c>
      <c r="AM548" s="100">
        <v>0</v>
      </c>
      <c r="AN548" s="100">
        <v>0</v>
      </c>
      <c r="AO548" s="100">
        <v>0</v>
      </c>
      <c r="AP548" s="100">
        <f t="shared" si="303"/>
        <v>136215</v>
      </c>
      <c r="AQ548" s="101">
        <f t="shared" si="311"/>
        <v>2860513</v>
      </c>
      <c r="AR548" s="101">
        <v>0</v>
      </c>
      <c r="AS548" s="101">
        <v>0</v>
      </c>
      <c r="AT548" s="102" t="s">
        <v>34</v>
      </c>
      <c r="AU548" s="109" t="s">
        <v>118</v>
      </c>
      <c r="AV548" s="222">
        <v>0</v>
      </c>
      <c r="AW548" s="105">
        <v>2</v>
      </c>
      <c r="AX548" s="216">
        <f t="shared" si="312"/>
        <v>1.0622375895282838</v>
      </c>
      <c r="AY548" s="217">
        <f t="shared" si="313"/>
        <v>28925</v>
      </c>
      <c r="AZ548" s="107"/>
      <c r="BA548" s="94">
        <v>45521.708333333336</v>
      </c>
      <c r="BB548" s="94">
        <v>45521.715277777781</v>
      </c>
      <c r="BC548" s="94">
        <v>45521.759722222225</v>
      </c>
      <c r="BD548" s="94">
        <v>45521.988194444442</v>
      </c>
      <c r="BE548" s="95">
        <f t="shared" si="306"/>
        <v>0.27986111110658385</v>
      </c>
      <c r="BF548" s="95">
        <v>7.013888888888889E-2</v>
      </c>
      <c r="BG548" s="95">
        <v>1.9444444444444445E-2</v>
      </c>
      <c r="BH548" s="95">
        <f t="shared" si="307"/>
        <v>6.9444444452528842E-3</v>
      </c>
      <c r="BI548" s="95">
        <f t="shared" si="307"/>
        <v>4.4444444443797693E-2</v>
      </c>
      <c r="BJ548" s="95">
        <f t="shared" si="307"/>
        <v>0.22847222221753327</v>
      </c>
      <c r="BK548" s="95">
        <f t="shared" si="308"/>
        <v>0.27291666666133096</v>
      </c>
      <c r="BL548" s="95">
        <f t="shared" si="309"/>
        <v>0.18333333332799762</v>
      </c>
      <c r="BM548" s="95">
        <f t="shared" si="310"/>
        <v>7.1527777773250506E-2</v>
      </c>
      <c r="BN548" s="110"/>
    </row>
    <row r="549" spans="1:66" s="8" customFormat="1" ht="12.75" customHeight="1" x14ac:dyDescent="0.25">
      <c r="A549" s="150">
        <v>496</v>
      </c>
      <c r="B549" s="150">
        <v>66</v>
      </c>
      <c r="C549" s="90">
        <v>4</v>
      </c>
      <c r="D549" s="111" t="s">
        <v>148</v>
      </c>
      <c r="E549" s="210" t="s">
        <v>732</v>
      </c>
      <c r="F549" s="150" t="s">
        <v>16</v>
      </c>
      <c r="G549" s="150" t="s">
        <v>17</v>
      </c>
      <c r="H549" s="150" t="s">
        <v>150</v>
      </c>
      <c r="I549" s="150" t="s">
        <v>738</v>
      </c>
      <c r="J549" s="151">
        <v>45520</v>
      </c>
      <c r="K549" s="135" t="s">
        <v>117</v>
      </c>
      <c r="L549" s="135">
        <v>461000432</v>
      </c>
      <c r="M549" s="151">
        <v>45522</v>
      </c>
      <c r="N549" s="220">
        <v>45522.020833333336</v>
      </c>
      <c r="O549" s="220">
        <v>45522.020833333336</v>
      </c>
      <c r="P549" s="152">
        <v>45522.03125</v>
      </c>
      <c r="Q549" s="152">
        <v>45522.229166666664</v>
      </c>
      <c r="R549" s="220" t="s">
        <v>118</v>
      </c>
      <c r="S549" s="152">
        <v>45522.270833333336</v>
      </c>
      <c r="T549" s="152">
        <v>45522.3125</v>
      </c>
      <c r="U549" s="152">
        <v>45522.458333333336</v>
      </c>
      <c r="V549" s="219">
        <f t="shared" si="304"/>
        <v>0.20833333332848269</v>
      </c>
      <c r="W549" s="165">
        <v>0.20833333333333334</v>
      </c>
      <c r="X549" s="219" t="str">
        <f t="shared" si="305"/>
        <v>00:00</v>
      </c>
      <c r="Y549" s="96">
        <v>1</v>
      </c>
      <c r="Z549" s="96">
        <v>57</v>
      </c>
      <c r="AA549" s="96">
        <f t="shared" si="298"/>
        <v>58</v>
      </c>
      <c r="AB549" s="97">
        <f t="shared" si="299"/>
        <v>68.187413793103445</v>
      </c>
      <c r="AC549" s="97">
        <f t="shared" si="300"/>
        <v>3886.6825862068963</v>
      </c>
      <c r="AD549" s="98">
        <v>3954.87</v>
      </c>
      <c r="AE549" s="98">
        <v>4058</v>
      </c>
      <c r="AF549" s="98">
        <v>4061.6</v>
      </c>
      <c r="AG549" s="98">
        <f t="shared" si="301"/>
        <v>106.73000000000002</v>
      </c>
      <c r="AH549" s="99">
        <v>672.5</v>
      </c>
      <c r="AI549" s="100">
        <f t="shared" si="302"/>
        <v>2731426</v>
      </c>
      <c r="AJ549" s="100">
        <f t="shared" ref="AJ549:AJ558" si="314">(0*AH549)*2</f>
        <v>0</v>
      </c>
      <c r="AK549" s="100">
        <v>0</v>
      </c>
      <c r="AL549" s="100">
        <v>24140</v>
      </c>
      <c r="AM549" s="100">
        <v>0</v>
      </c>
      <c r="AN549" s="100">
        <v>0</v>
      </c>
      <c r="AO549" s="100">
        <v>0</v>
      </c>
      <c r="AP549" s="100">
        <f t="shared" si="303"/>
        <v>137779</v>
      </c>
      <c r="AQ549" s="101">
        <f t="shared" si="311"/>
        <v>2893345</v>
      </c>
      <c r="AR549" s="101">
        <v>0</v>
      </c>
      <c r="AS549" s="101">
        <v>0</v>
      </c>
      <c r="AT549" s="102" t="s">
        <v>34</v>
      </c>
      <c r="AU549" s="109">
        <v>3</v>
      </c>
      <c r="AV549" s="222">
        <f>5.8-2.8</f>
        <v>3</v>
      </c>
      <c r="AW549" s="105">
        <v>1</v>
      </c>
      <c r="AX549" s="216">
        <f t="shared" si="312"/>
        <v>2.6277821548158364</v>
      </c>
      <c r="AY549" s="217">
        <f t="shared" si="313"/>
        <v>71776</v>
      </c>
      <c r="AZ549" s="107"/>
      <c r="BA549" s="94">
        <v>45522.020833333336</v>
      </c>
      <c r="BB549" s="94">
        <v>45522.03125</v>
      </c>
      <c r="BC549" s="94">
        <v>45522.034722222219</v>
      </c>
      <c r="BD549" s="94">
        <v>45522.274305555555</v>
      </c>
      <c r="BE549" s="95">
        <f t="shared" si="306"/>
        <v>0.25347222221898846</v>
      </c>
      <c r="BF549" s="95">
        <v>5.6250000000000001E-2</v>
      </c>
      <c r="BG549" s="95">
        <v>4.8611111111111112E-3</v>
      </c>
      <c r="BH549" s="95">
        <f t="shared" si="307"/>
        <v>1.0416666664241347E-2</v>
      </c>
      <c r="BI549" s="95">
        <f t="shared" si="307"/>
        <v>3.4722222189884633E-3</v>
      </c>
      <c r="BJ549" s="95">
        <f t="shared" si="307"/>
        <v>0.23958333333575865</v>
      </c>
      <c r="BK549" s="95">
        <f t="shared" si="308"/>
        <v>0.24305555555474712</v>
      </c>
      <c r="BL549" s="95">
        <f t="shared" si="309"/>
        <v>0.181944444443636</v>
      </c>
      <c r="BM549" s="95">
        <f t="shared" si="310"/>
        <v>4.5138888885655121E-2</v>
      </c>
      <c r="BN549" s="110"/>
    </row>
    <row r="550" spans="1:66" s="8" customFormat="1" ht="12.75" customHeight="1" x14ac:dyDescent="0.25">
      <c r="A550" s="150">
        <v>497</v>
      </c>
      <c r="B550" s="150">
        <v>67</v>
      </c>
      <c r="C550" s="90">
        <v>5</v>
      </c>
      <c r="D550" s="111" t="s">
        <v>148</v>
      </c>
      <c r="E550" s="210" t="s">
        <v>732</v>
      </c>
      <c r="F550" s="150" t="s">
        <v>16</v>
      </c>
      <c r="G550" s="150" t="s">
        <v>17</v>
      </c>
      <c r="H550" s="150" t="s">
        <v>150</v>
      </c>
      <c r="I550" s="150" t="s">
        <v>739</v>
      </c>
      <c r="J550" s="151">
        <v>45521</v>
      </c>
      <c r="K550" s="135" t="s">
        <v>122</v>
      </c>
      <c r="L550" s="135">
        <v>461000433</v>
      </c>
      <c r="M550" s="151">
        <v>45522</v>
      </c>
      <c r="N550" s="220">
        <v>45522.416666666664</v>
      </c>
      <c r="O550" s="220">
        <v>45522.416666666664</v>
      </c>
      <c r="P550" s="152">
        <v>45522.423611111109</v>
      </c>
      <c r="Q550" s="152">
        <v>45522.625</v>
      </c>
      <c r="R550" s="220" t="s">
        <v>118</v>
      </c>
      <c r="S550" s="152">
        <v>45522.697916666664</v>
      </c>
      <c r="T550" s="152">
        <v>45522.75</v>
      </c>
      <c r="U550" s="152">
        <v>45522.829861111109</v>
      </c>
      <c r="V550" s="219">
        <f t="shared" si="304"/>
        <v>0.20833333333575865</v>
      </c>
      <c r="W550" s="165">
        <v>0.20833333333333334</v>
      </c>
      <c r="X550" s="219">
        <f t="shared" si="305"/>
        <v>2.4253099528692701E-12</v>
      </c>
      <c r="Y550" s="96">
        <v>0</v>
      </c>
      <c r="Z550" s="96">
        <v>58</v>
      </c>
      <c r="AA550" s="96">
        <f t="shared" si="298"/>
        <v>58</v>
      </c>
      <c r="AB550" s="97">
        <f t="shared" si="299"/>
        <v>0</v>
      </c>
      <c r="AC550" s="97">
        <f t="shared" si="300"/>
        <v>4012.3899999999994</v>
      </c>
      <c r="AD550" s="98">
        <v>4012.39</v>
      </c>
      <c r="AE550" s="98">
        <v>4035.6</v>
      </c>
      <c r="AF550" s="98">
        <v>4049.6</v>
      </c>
      <c r="AG550" s="98">
        <f t="shared" si="301"/>
        <v>37.210000000000036</v>
      </c>
      <c r="AH550" s="99">
        <v>672.5</v>
      </c>
      <c r="AI550" s="100">
        <f t="shared" si="302"/>
        <v>2723356</v>
      </c>
      <c r="AJ550" s="100">
        <f t="shared" si="314"/>
        <v>0</v>
      </c>
      <c r="AK550" s="100">
        <v>0</v>
      </c>
      <c r="AL550" s="100">
        <v>24140</v>
      </c>
      <c r="AM550" s="100">
        <v>0</v>
      </c>
      <c r="AN550" s="100">
        <v>0</v>
      </c>
      <c r="AO550" s="100">
        <v>0</v>
      </c>
      <c r="AP550" s="100">
        <f t="shared" si="303"/>
        <v>137375</v>
      </c>
      <c r="AQ550" s="101">
        <f t="shared" si="311"/>
        <v>2884871</v>
      </c>
      <c r="AR550" s="101">
        <v>0</v>
      </c>
      <c r="AS550" s="101">
        <v>0</v>
      </c>
      <c r="AT550" s="102" t="s">
        <v>34</v>
      </c>
      <c r="AU550" s="109">
        <v>7</v>
      </c>
      <c r="AV550" s="222">
        <f>17.74-12.24</f>
        <v>5.4999999999999982</v>
      </c>
      <c r="AW550" s="105">
        <v>2</v>
      </c>
      <c r="AX550" s="216">
        <f t="shared" si="312"/>
        <v>0.91885618332674923</v>
      </c>
      <c r="AY550" s="217">
        <f t="shared" si="313"/>
        <v>25024</v>
      </c>
      <c r="AZ550" s="107"/>
      <c r="BA550" s="94">
        <v>45522.416666666664</v>
      </c>
      <c r="BB550" s="94">
        <v>45522.423611111109</v>
      </c>
      <c r="BC550" s="94">
        <v>45522.447916666664</v>
      </c>
      <c r="BD550" s="94">
        <v>45522.69027777778</v>
      </c>
      <c r="BE550" s="95">
        <f t="shared" si="306"/>
        <v>0.273611111115315</v>
      </c>
      <c r="BF550" s="95">
        <v>8.3333333333333329E-2</v>
      </c>
      <c r="BG550" s="95">
        <v>3.472222222222222E-3</v>
      </c>
      <c r="BH550" s="95">
        <f t="shared" si="307"/>
        <v>6.9444444452528842E-3</v>
      </c>
      <c r="BI550" s="95">
        <f t="shared" si="307"/>
        <v>2.4305555554747116E-2</v>
      </c>
      <c r="BJ550" s="95">
        <f t="shared" si="307"/>
        <v>0.242361111115315</v>
      </c>
      <c r="BK550" s="95">
        <f t="shared" si="308"/>
        <v>0.26666666667006211</v>
      </c>
      <c r="BL550" s="95">
        <f t="shared" si="309"/>
        <v>0.17986111111450659</v>
      </c>
      <c r="BM550" s="95">
        <f t="shared" si="310"/>
        <v>6.5277777781981655E-2</v>
      </c>
      <c r="BN550" s="110"/>
    </row>
    <row r="551" spans="1:66" s="8" customFormat="1" ht="12.75" customHeight="1" x14ac:dyDescent="0.25">
      <c r="A551" s="150">
        <v>498</v>
      </c>
      <c r="B551" s="150">
        <v>68</v>
      </c>
      <c r="C551" s="90">
        <v>7</v>
      </c>
      <c r="D551" s="111" t="s">
        <v>113</v>
      </c>
      <c r="E551" s="210" t="s">
        <v>711</v>
      </c>
      <c r="F551" s="150" t="s">
        <v>32</v>
      </c>
      <c r="G551" s="150" t="s">
        <v>8</v>
      </c>
      <c r="H551" s="150" t="s">
        <v>120</v>
      </c>
      <c r="I551" s="150" t="s">
        <v>740</v>
      </c>
      <c r="J551" s="151">
        <v>45522</v>
      </c>
      <c r="K551" s="135" t="s">
        <v>117</v>
      </c>
      <c r="L551" s="135">
        <v>261005931</v>
      </c>
      <c r="M551" s="151">
        <v>45523</v>
      </c>
      <c r="N551" s="220">
        <v>45522.645833333336</v>
      </c>
      <c r="O551" s="220">
        <v>45522.645833333336</v>
      </c>
      <c r="P551" s="152">
        <v>45522.652777777781</v>
      </c>
      <c r="Q551" s="152">
        <v>45522.854166666664</v>
      </c>
      <c r="R551" s="220" t="s">
        <v>118</v>
      </c>
      <c r="S551" s="152">
        <v>45522.895833333336</v>
      </c>
      <c r="T551" s="152">
        <v>45522.9375</v>
      </c>
      <c r="U551" s="152">
        <v>45523.039583333331</v>
      </c>
      <c r="V551" s="219">
        <f t="shared" si="304"/>
        <v>0.20833333332848269</v>
      </c>
      <c r="W551" s="165">
        <v>0.20833333333333334</v>
      </c>
      <c r="X551" s="219" t="str">
        <f t="shared" si="305"/>
        <v>00:00</v>
      </c>
      <c r="Y551" s="96">
        <v>2</v>
      </c>
      <c r="Z551" s="96">
        <v>57</v>
      </c>
      <c r="AA551" s="96">
        <f t="shared" si="298"/>
        <v>59</v>
      </c>
      <c r="AB551" s="97">
        <f t="shared" si="299"/>
        <v>137.29593220338984</v>
      </c>
      <c r="AC551" s="97">
        <f t="shared" si="300"/>
        <v>3912.9340677966102</v>
      </c>
      <c r="AD551" s="98">
        <v>4050.23</v>
      </c>
      <c r="AE551" s="98">
        <v>4106</v>
      </c>
      <c r="AF551" s="98">
        <v>4110.6000000000004</v>
      </c>
      <c r="AG551" s="98">
        <f t="shared" si="301"/>
        <v>60.370000000000346</v>
      </c>
      <c r="AH551" s="99">
        <v>1398.7</v>
      </c>
      <c r="AI551" s="100">
        <f t="shared" si="302"/>
        <v>5749496.2200000007</v>
      </c>
      <c r="AJ551" s="100">
        <f t="shared" si="314"/>
        <v>0</v>
      </c>
      <c r="AK551" s="100">
        <v>0</v>
      </c>
      <c r="AL551" s="100">
        <v>0</v>
      </c>
      <c r="AM551" s="100">
        <v>0</v>
      </c>
      <c r="AN551" s="100">
        <v>0</v>
      </c>
      <c r="AO551" s="100">
        <v>0</v>
      </c>
      <c r="AP551" s="100">
        <f t="shared" si="303"/>
        <v>287475</v>
      </c>
      <c r="AQ551" s="101">
        <f t="shared" si="311"/>
        <v>6036972</v>
      </c>
      <c r="AR551" s="101">
        <v>0</v>
      </c>
      <c r="AS551" s="101">
        <v>0</v>
      </c>
      <c r="AT551" s="102" t="s">
        <v>33</v>
      </c>
      <c r="AU551" s="109" t="s">
        <v>118</v>
      </c>
      <c r="AV551" s="222">
        <v>0</v>
      </c>
      <c r="AW551" s="105">
        <v>1</v>
      </c>
      <c r="AX551" s="216">
        <f t="shared" si="312"/>
        <v>1.4686420473896837</v>
      </c>
      <c r="AY551" s="217">
        <f t="shared" si="313"/>
        <v>84440</v>
      </c>
      <c r="AZ551" s="107"/>
      <c r="BA551" s="94">
        <v>45522.645833333336</v>
      </c>
      <c r="BB551" s="94">
        <v>45522.652777777781</v>
      </c>
      <c r="BC551" s="94">
        <v>45522.784722222219</v>
      </c>
      <c r="BD551" s="94">
        <v>45522.913888888892</v>
      </c>
      <c r="BE551" s="95">
        <f t="shared" si="306"/>
        <v>0.26805555555620231</v>
      </c>
      <c r="BF551" s="95">
        <v>5.9722222222222225E-2</v>
      </c>
      <c r="BG551" s="95">
        <v>7.2222222222222215E-2</v>
      </c>
      <c r="BH551" s="95">
        <f t="shared" si="307"/>
        <v>6.9444444452528842E-3</v>
      </c>
      <c r="BI551" s="95">
        <f t="shared" si="307"/>
        <v>0.13194444443797693</v>
      </c>
      <c r="BJ551" s="95">
        <f t="shared" si="307"/>
        <v>0.1291666666729725</v>
      </c>
      <c r="BK551" s="95">
        <f t="shared" si="308"/>
        <v>0.26111111111094942</v>
      </c>
      <c r="BL551" s="95">
        <f t="shared" si="309"/>
        <v>0.12916666666650498</v>
      </c>
      <c r="BM551" s="95">
        <f t="shared" si="310"/>
        <v>5.9722222222868965E-2</v>
      </c>
      <c r="BN551" s="110"/>
    </row>
    <row r="552" spans="1:66" s="8" customFormat="1" ht="12.75" customHeight="1" x14ac:dyDescent="0.25">
      <c r="A552" s="150">
        <v>499</v>
      </c>
      <c r="B552" s="150">
        <v>69</v>
      </c>
      <c r="C552" s="90">
        <v>8</v>
      </c>
      <c r="D552" s="111" t="s">
        <v>113</v>
      </c>
      <c r="E552" s="210" t="s">
        <v>711</v>
      </c>
      <c r="F552" s="150" t="s">
        <v>32</v>
      </c>
      <c r="G552" s="150" t="s">
        <v>8</v>
      </c>
      <c r="H552" s="150" t="s">
        <v>182</v>
      </c>
      <c r="I552" s="150" t="s">
        <v>741</v>
      </c>
      <c r="J552" s="151">
        <v>45520</v>
      </c>
      <c r="K552" s="135" t="s">
        <v>122</v>
      </c>
      <c r="L552" s="135">
        <v>261005932</v>
      </c>
      <c r="M552" s="151">
        <v>45523</v>
      </c>
      <c r="N552" s="220">
        <v>45522.854166666664</v>
      </c>
      <c r="O552" s="220">
        <v>45522.822916666664</v>
      </c>
      <c r="P552" s="152">
        <v>45522.861111111109</v>
      </c>
      <c r="Q552" s="152">
        <v>45522.989583333336</v>
      </c>
      <c r="R552" s="220">
        <v>45522.854166666664</v>
      </c>
      <c r="S552" s="152" t="s">
        <v>118</v>
      </c>
      <c r="T552" s="152">
        <v>45523.083333333336</v>
      </c>
      <c r="U552" s="152">
        <v>45523.229166666664</v>
      </c>
      <c r="V552" s="219">
        <f t="shared" si="304"/>
        <v>0.16666666667151731</v>
      </c>
      <c r="W552" s="165">
        <v>0.20833333333333334</v>
      </c>
      <c r="X552" s="219" t="str">
        <f t="shared" si="305"/>
        <v>00:00</v>
      </c>
      <c r="Y552" s="96">
        <v>0</v>
      </c>
      <c r="Z552" s="96">
        <v>59</v>
      </c>
      <c r="AA552" s="96">
        <f t="shared" si="298"/>
        <v>59</v>
      </c>
      <c r="AB552" s="97">
        <f t="shared" si="299"/>
        <v>0</v>
      </c>
      <c r="AC552" s="97">
        <f t="shared" si="300"/>
        <v>4125.07</v>
      </c>
      <c r="AD552" s="98">
        <v>4125.07</v>
      </c>
      <c r="AE552" s="98">
        <v>4127.3999999999996</v>
      </c>
      <c r="AF552" s="98">
        <v>4147</v>
      </c>
      <c r="AG552" s="98">
        <f t="shared" si="301"/>
        <v>21.930000000000291</v>
      </c>
      <c r="AH552" s="99">
        <v>1484</v>
      </c>
      <c r="AI552" s="100">
        <f t="shared" si="302"/>
        <v>6154148</v>
      </c>
      <c r="AJ552" s="100">
        <f t="shared" si="314"/>
        <v>0</v>
      </c>
      <c r="AK552" s="100">
        <v>0</v>
      </c>
      <c r="AL552" s="100">
        <v>24290</v>
      </c>
      <c r="AM552" s="100">
        <v>0</v>
      </c>
      <c r="AN552" s="100">
        <v>0</v>
      </c>
      <c r="AO552" s="100">
        <v>0</v>
      </c>
      <c r="AP552" s="100">
        <f t="shared" si="303"/>
        <v>308922</v>
      </c>
      <c r="AQ552" s="101">
        <f t="shared" si="311"/>
        <v>6487360</v>
      </c>
      <c r="AR552" s="101">
        <v>0</v>
      </c>
      <c r="AS552" s="101">
        <v>0</v>
      </c>
      <c r="AT552" s="102" t="s">
        <v>33</v>
      </c>
      <c r="AU552" s="109">
        <v>9</v>
      </c>
      <c r="AV552" s="222">
        <f>24-17</f>
        <v>7</v>
      </c>
      <c r="AW552" s="105">
        <v>0</v>
      </c>
      <c r="AX552" s="216">
        <f t="shared" si="312"/>
        <v>0.52881601157463931</v>
      </c>
      <c r="AY552" s="217">
        <f t="shared" si="313"/>
        <v>32545</v>
      </c>
      <c r="AZ552" s="107"/>
      <c r="BA552" s="94">
        <v>45522.854166666664</v>
      </c>
      <c r="BB552" s="94">
        <v>45522.861111111109</v>
      </c>
      <c r="BC552" s="94">
        <v>45522.919444444444</v>
      </c>
      <c r="BD552" s="94">
        <v>45523.043749999997</v>
      </c>
      <c r="BE552" s="95">
        <f t="shared" si="306"/>
        <v>0.18958333333284827</v>
      </c>
      <c r="BF552" s="95">
        <v>0</v>
      </c>
      <c r="BG552" s="95">
        <v>5.8333333333333334E-2</v>
      </c>
      <c r="BH552" s="95">
        <f t="shared" si="307"/>
        <v>6.9444444452528842E-3</v>
      </c>
      <c r="BI552" s="95">
        <f t="shared" si="307"/>
        <v>5.8333333334303461E-2</v>
      </c>
      <c r="BJ552" s="95">
        <f t="shared" si="307"/>
        <v>0.12430555555329192</v>
      </c>
      <c r="BK552" s="95">
        <f t="shared" si="308"/>
        <v>0.18263888888759539</v>
      </c>
      <c r="BL552" s="95">
        <f t="shared" si="309"/>
        <v>0.12430555555426205</v>
      </c>
      <c r="BM552" s="95" t="str">
        <f t="shared" si="310"/>
        <v>00:00</v>
      </c>
      <c r="BN552" s="110"/>
    </row>
    <row r="553" spans="1:66" s="8" customFormat="1" ht="12.75" customHeight="1" x14ac:dyDescent="0.25">
      <c r="A553" s="150">
        <v>500</v>
      </c>
      <c r="B553" s="150">
        <v>70</v>
      </c>
      <c r="C553" s="90">
        <v>6</v>
      </c>
      <c r="D553" s="111" t="s">
        <v>148</v>
      </c>
      <c r="E553" s="210" t="s">
        <v>732</v>
      </c>
      <c r="F553" s="150" t="s">
        <v>16</v>
      </c>
      <c r="G553" s="150" t="s">
        <v>17</v>
      </c>
      <c r="H553" s="150" t="s">
        <v>150</v>
      </c>
      <c r="I553" s="150" t="s">
        <v>742</v>
      </c>
      <c r="J553" s="151">
        <v>45521</v>
      </c>
      <c r="K553" s="135" t="s">
        <v>117</v>
      </c>
      <c r="L553" s="135">
        <v>461000434</v>
      </c>
      <c r="M553" s="151">
        <v>45523</v>
      </c>
      <c r="N553" s="220">
        <v>45523.0625</v>
      </c>
      <c r="O553" s="220">
        <v>45523.0625</v>
      </c>
      <c r="P553" s="152">
        <v>45523.072916666664</v>
      </c>
      <c r="Q553" s="152">
        <v>45523.260416666664</v>
      </c>
      <c r="R553" s="220" t="s">
        <v>118</v>
      </c>
      <c r="S553" s="152" t="s">
        <v>118</v>
      </c>
      <c r="T553" s="152">
        <v>45523.3125</v>
      </c>
      <c r="U553" s="152">
        <v>45523.402777777781</v>
      </c>
      <c r="V553" s="219">
        <f t="shared" si="304"/>
        <v>0.19791666666424135</v>
      </c>
      <c r="W553" s="165">
        <v>0.20833333333333334</v>
      </c>
      <c r="X553" s="219" t="str">
        <f t="shared" si="305"/>
        <v>00:00</v>
      </c>
      <c r="Y553" s="96">
        <v>0</v>
      </c>
      <c r="Z553" s="96">
        <v>58</v>
      </c>
      <c r="AA553" s="96">
        <f t="shared" si="298"/>
        <v>58</v>
      </c>
      <c r="AB553" s="97">
        <f t="shared" si="299"/>
        <v>0</v>
      </c>
      <c r="AC553" s="97">
        <f t="shared" si="300"/>
        <v>3998.8099999999995</v>
      </c>
      <c r="AD553" s="98">
        <v>3998.81</v>
      </c>
      <c r="AE553" s="98">
        <v>4039.3</v>
      </c>
      <c r="AF553" s="98">
        <v>4046.8</v>
      </c>
      <c r="AG553" s="98">
        <f t="shared" si="301"/>
        <v>47.990000000000236</v>
      </c>
      <c r="AH553" s="99">
        <v>672.5</v>
      </c>
      <c r="AI553" s="100">
        <f t="shared" si="302"/>
        <v>2721473</v>
      </c>
      <c r="AJ553" s="100">
        <f t="shared" si="314"/>
        <v>0</v>
      </c>
      <c r="AK553" s="100">
        <v>0</v>
      </c>
      <c r="AL553" s="100">
        <v>8700</v>
      </c>
      <c r="AM553" s="100">
        <v>0</v>
      </c>
      <c r="AN553" s="100">
        <v>0</v>
      </c>
      <c r="AO553" s="100">
        <v>0</v>
      </c>
      <c r="AP553" s="100">
        <f t="shared" si="303"/>
        <v>136509</v>
      </c>
      <c r="AQ553" s="101">
        <f t="shared" si="311"/>
        <v>2866682</v>
      </c>
      <c r="AR553" s="101">
        <v>0</v>
      </c>
      <c r="AS553" s="101">
        <v>0</v>
      </c>
      <c r="AT553" s="102" t="s">
        <v>34</v>
      </c>
      <c r="AU553" s="109">
        <v>3</v>
      </c>
      <c r="AV553" s="222">
        <f>9.69-6.69</f>
        <v>2.9999999999999991</v>
      </c>
      <c r="AW553" s="105">
        <v>0</v>
      </c>
      <c r="AX553" s="216">
        <f t="shared" si="312"/>
        <v>1.1858752594642739</v>
      </c>
      <c r="AY553" s="217">
        <f t="shared" si="313"/>
        <v>32274</v>
      </c>
      <c r="AZ553" s="107"/>
      <c r="BA553" s="94">
        <v>45523.0625</v>
      </c>
      <c r="BB553" s="94">
        <v>45523.072916666664</v>
      </c>
      <c r="BC553" s="94">
        <v>45523.079861111109</v>
      </c>
      <c r="BD553" s="94">
        <v>45523.260416666664</v>
      </c>
      <c r="BE553" s="95">
        <f t="shared" si="306"/>
        <v>0.19791666666424135</v>
      </c>
      <c r="BF553" s="95">
        <v>3.2638888888888891E-2</v>
      </c>
      <c r="BG553" s="95">
        <v>0</v>
      </c>
      <c r="BH553" s="95">
        <f t="shared" si="307"/>
        <v>1.0416666664241347E-2</v>
      </c>
      <c r="BI553" s="95">
        <f t="shared" si="307"/>
        <v>6.9444444452528842E-3</v>
      </c>
      <c r="BJ553" s="95">
        <f t="shared" si="307"/>
        <v>0.18055555555474712</v>
      </c>
      <c r="BK553" s="95">
        <f t="shared" si="308"/>
        <v>0.1875</v>
      </c>
      <c r="BL553" s="95">
        <f t="shared" si="309"/>
        <v>0.15486111111111112</v>
      </c>
      <c r="BM553" s="95" t="str">
        <f t="shared" si="310"/>
        <v>00:00</v>
      </c>
      <c r="BN553" s="110"/>
    </row>
    <row r="554" spans="1:66" s="8" customFormat="1" ht="12.75" customHeight="1" x14ac:dyDescent="0.25">
      <c r="A554" s="150">
        <v>501</v>
      </c>
      <c r="B554" s="150">
        <v>71</v>
      </c>
      <c r="C554" s="90">
        <v>19</v>
      </c>
      <c r="D554" s="111" t="s">
        <v>113</v>
      </c>
      <c r="E554" s="210" t="s">
        <v>551</v>
      </c>
      <c r="F554" s="150" t="s">
        <v>29</v>
      </c>
      <c r="G554" s="150" t="s">
        <v>8</v>
      </c>
      <c r="H554" s="150" t="s">
        <v>124</v>
      </c>
      <c r="I554" s="150" t="s">
        <v>743</v>
      </c>
      <c r="J554" s="151">
        <v>45522</v>
      </c>
      <c r="K554" s="135" t="s">
        <v>122</v>
      </c>
      <c r="L554" s="135">
        <v>461000435</v>
      </c>
      <c r="M554" s="151">
        <v>45523</v>
      </c>
      <c r="N554" s="220">
        <v>45523.3125</v>
      </c>
      <c r="O554" s="220">
        <v>45523.3125</v>
      </c>
      <c r="P554" s="152">
        <v>45523.322916666664</v>
      </c>
      <c r="Q554" s="152">
        <v>45523.520833333336</v>
      </c>
      <c r="R554" s="220" t="s">
        <v>118</v>
      </c>
      <c r="S554" s="152" t="s">
        <v>118</v>
      </c>
      <c r="T554" s="152">
        <v>45523.583333333336</v>
      </c>
      <c r="U554" s="152">
        <v>45523.675000000003</v>
      </c>
      <c r="V554" s="219">
        <f t="shared" si="304"/>
        <v>0.20833333333575865</v>
      </c>
      <c r="W554" s="165">
        <v>0.20833333333333334</v>
      </c>
      <c r="X554" s="219">
        <f t="shared" si="305"/>
        <v>2.4253099528692701E-12</v>
      </c>
      <c r="Y554" s="96">
        <v>0</v>
      </c>
      <c r="Z554" s="96">
        <v>58</v>
      </c>
      <c r="AA554" s="96">
        <f t="shared" si="298"/>
        <v>58</v>
      </c>
      <c r="AB554" s="97">
        <f t="shared" si="299"/>
        <v>0</v>
      </c>
      <c r="AC554" s="97">
        <f t="shared" si="300"/>
        <v>3934.43</v>
      </c>
      <c r="AD554" s="98">
        <v>3934.43</v>
      </c>
      <c r="AE554" s="98">
        <v>4029</v>
      </c>
      <c r="AF554" s="98">
        <v>4030</v>
      </c>
      <c r="AG554" s="98">
        <f t="shared" si="301"/>
        <v>95.570000000000164</v>
      </c>
      <c r="AH554" s="99">
        <v>797.2</v>
      </c>
      <c r="AI554" s="100">
        <f t="shared" si="302"/>
        <v>3212716</v>
      </c>
      <c r="AJ554" s="100">
        <f t="shared" si="314"/>
        <v>0</v>
      </c>
      <c r="AK554" s="100">
        <v>0</v>
      </c>
      <c r="AL554" s="100">
        <v>0</v>
      </c>
      <c r="AM554" s="100">
        <v>0</v>
      </c>
      <c r="AN554" s="100">
        <v>0</v>
      </c>
      <c r="AO554" s="100">
        <v>0</v>
      </c>
      <c r="AP554" s="100">
        <f t="shared" si="303"/>
        <v>160636</v>
      </c>
      <c r="AQ554" s="101">
        <f t="shared" si="311"/>
        <v>3373352</v>
      </c>
      <c r="AR554" s="101">
        <v>0</v>
      </c>
      <c r="AS554" s="101">
        <v>0</v>
      </c>
      <c r="AT554" s="102" t="s">
        <v>34</v>
      </c>
      <c r="AU554" s="109" t="s">
        <v>118</v>
      </c>
      <c r="AV554" s="222">
        <v>0</v>
      </c>
      <c r="AW554" s="105">
        <v>0</v>
      </c>
      <c r="AX554" s="216">
        <f t="shared" si="312"/>
        <v>2.3714640198511208</v>
      </c>
      <c r="AY554" s="217">
        <f t="shared" si="313"/>
        <v>76189</v>
      </c>
      <c r="AZ554" s="107"/>
      <c r="BA554" s="94">
        <v>45523.3125</v>
      </c>
      <c r="BB554" s="94">
        <v>45523.329861111109</v>
      </c>
      <c r="BC554" s="94">
        <v>45523.329861111109</v>
      </c>
      <c r="BD554" s="94">
        <v>45523.477083333331</v>
      </c>
      <c r="BE554" s="95">
        <f t="shared" si="306"/>
        <v>0.16458333333139308</v>
      </c>
      <c r="BF554" s="95">
        <v>1.3888888888888889E-3</v>
      </c>
      <c r="BG554" s="95">
        <v>1.4583333333333334E-2</v>
      </c>
      <c r="BH554" s="95">
        <f t="shared" si="307"/>
        <v>1.7361111109494232E-2</v>
      </c>
      <c r="BI554" s="95">
        <f t="shared" si="307"/>
        <v>0</v>
      </c>
      <c r="BJ554" s="95">
        <f t="shared" si="307"/>
        <v>0.14722222222189885</v>
      </c>
      <c r="BK554" s="95">
        <f t="shared" si="308"/>
        <v>0.14722222222189885</v>
      </c>
      <c r="BL554" s="95">
        <f t="shared" si="309"/>
        <v>0.13124999999967663</v>
      </c>
      <c r="BM554" s="95" t="str">
        <f t="shared" si="310"/>
        <v>00:00</v>
      </c>
      <c r="BN554" s="110"/>
    </row>
    <row r="555" spans="1:66" s="8" customFormat="1" ht="12.75" customHeight="1" x14ac:dyDescent="0.25">
      <c r="A555" s="150">
        <v>502</v>
      </c>
      <c r="B555" s="150">
        <v>72</v>
      </c>
      <c r="C555" s="90">
        <v>12</v>
      </c>
      <c r="D555" s="111" t="s">
        <v>113</v>
      </c>
      <c r="E555" s="210" t="s">
        <v>596</v>
      </c>
      <c r="F555" s="150" t="s">
        <v>32</v>
      </c>
      <c r="G555" s="150" t="s">
        <v>15</v>
      </c>
      <c r="H555" s="150" t="s">
        <v>146</v>
      </c>
      <c r="I555" s="150" t="s">
        <v>744</v>
      </c>
      <c r="J555" s="151">
        <v>45523</v>
      </c>
      <c r="K555" s="135" t="s">
        <v>117</v>
      </c>
      <c r="L555" s="135">
        <v>261005933</v>
      </c>
      <c r="M555" s="151">
        <v>45523</v>
      </c>
      <c r="N555" s="220">
        <v>45523.552083333336</v>
      </c>
      <c r="O555" s="220">
        <v>45523.552083333336</v>
      </c>
      <c r="P555" s="152">
        <v>45523.569444444445</v>
      </c>
      <c r="Q555" s="152">
        <v>45523.75</v>
      </c>
      <c r="R555" s="220" t="s">
        <v>118</v>
      </c>
      <c r="S555" s="152" t="s">
        <v>118</v>
      </c>
      <c r="T555" s="152">
        <v>45523.854166666664</v>
      </c>
      <c r="U555" s="152">
        <v>45523.933333333334</v>
      </c>
      <c r="V555" s="219">
        <f t="shared" si="304"/>
        <v>0.19791666666424135</v>
      </c>
      <c r="W555" s="165">
        <v>0.20833333333333334</v>
      </c>
      <c r="X555" s="219" t="str">
        <f t="shared" si="305"/>
        <v>00:00</v>
      </c>
      <c r="Y555" s="96">
        <v>0</v>
      </c>
      <c r="Z555" s="96">
        <v>59</v>
      </c>
      <c r="AA555" s="96">
        <f t="shared" si="298"/>
        <v>59</v>
      </c>
      <c r="AB555" s="97">
        <f t="shared" si="299"/>
        <v>0</v>
      </c>
      <c r="AC555" s="97">
        <f t="shared" si="300"/>
        <v>4036.9799999999996</v>
      </c>
      <c r="AD555" s="98">
        <v>4036.98</v>
      </c>
      <c r="AE555" s="98">
        <v>4099</v>
      </c>
      <c r="AF555" s="98">
        <v>4101.8</v>
      </c>
      <c r="AG555" s="98">
        <f t="shared" si="301"/>
        <v>64.820000000000164</v>
      </c>
      <c r="AH555" s="99">
        <v>1398.7</v>
      </c>
      <c r="AI555" s="100">
        <f t="shared" si="302"/>
        <v>5737187.6600000001</v>
      </c>
      <c r="AJ555" s="100">
        <f t="shared" si="314"/>
        <v>0</v>
      </c>
      <c r="AK555" s="100">
        <v>0</v>
      </c>
      <c r="AL555" s="100">
        <v>0</v>
      </c>
      <c r="AM555" s="100">
        <v>0</v>
      </c>
      <c r="AN555" s="100">
        <v>0</v>
      </c>
      <c r="AO555" s="100">
        <v>0</v>
      </c>
      <c r="AP555" s="100">
        <f t="shared" si="303"/>
        <v>286860</v>
      </c>
      <c r="AQ555" s="101">
        <f t="shared" si="311"/>
        <v>6024048</v>
      </c>
      <c r="AR555" s="101">
        <v>0</v>
      </c>
      <c r="AS555" s="101">
        <v>0</v>
      </c>
      <c r="AT555" s="102" t="s">
        <v>33</v>
      </c>
      <c r="AU555" s="109" t="s">
        <v>118</v>
      </c>
      <c r="AV555" s="222">
        <v>0</v>
      </c>
      <c r="AW555" s="105">
        <v>0</v>
      </c>
      <c r="AX555" s="216">
        <f t="shared" si="312"/>
        <v>1.5802818274903738</v>
      </c>
      <c r="AY555" s="217">
        <f t="shared" si="313"/>
        <v>90664</v>
      </c>
      <c r="AZ555" s="107"/>
      <c r="BA555" s="94">
        <v>45523.552083333336</v>
      </c>
      <c r="BB555" s="94">
        <v>45523.569444444445</v>
      </c>
      <c r="BC555" s="94">
        <v>45523.569444444445</v>
      </c>
      <c r="BD555" s="94">
        <v>45523.737500000003</v>
      </c>
      <c r="BE555" s="95">
        <f t="shared" si="306"/>
        <v>0.18541666666715173</v>
      </c>
      <c r="BF555" s="95">
        <v>0</v>
      </c>
      <c r="BG555" s="95">
        <v>4.8611111111111112E-2</v>
      </c>
      <c r="BH555" s="95">
        <f t="shared" si="307"/>
        <v>1.7361111109494232E-2</v>
      </c>
      <c r="BI555" s="95">
        <f t="shared" si="307"/>
        <v>0</v>
      </c>
      <c r="BJ555" s="95">
        <f t="shared" si="307"/>
        <v>0.1680555555576575</v>
      </c>
      <c r="BK555" s="95">
        <f t="shared" si="308"/>
        <v>0.1680555555576575</v>
      </c>
      <c r="BL555" s="95">
        <f t="shared" si="309"/>
        <v>0.11944444444654639</v>
      </c>
      <c r="BM555" s="95" t="str">
        <f t="shared" si="310"/>
        <v>00:00</v>
      </c>
      <c r="BN555" s="110"/>
    </row>
    <row r="556" spans="1:66" s="8" customFormat="1" ht="12.75" customHeight="1" x14ac:dyDescent="0.25">
      <c r="A556" s="150">
        <v>503</v>
      </c>
      <c r="B556" s="150">
        <v>73</v>
      </c>
      <c r="C556" s="90">
        <v>9</v>
      </c>
      <c r="D556" s="111" t="s">
        <v>113</v>
      </c>
      <c r="E556" s="210" t="s">
        <v>711</v>
      </c>
      <c r="F556" s="150" t="s">
        <v>32</v>
      </c>
      <c r="G556" s="150" t="s">
        <v>8</v>
      </c>
      <c r="H556" s="150" t="s">
        <v>135</v>
      </c>
      <c r="I556" s="150" t="s">
        <v>745</v>
      </c>
      <c r="J556" s="151">
        <v>45523</v>
      </c>
      <c r="K556" s="135" t="s">
        <v>122</v>
      </c>
      <c r="L556" s="135">
        <v>261005935</v>
      </c>
      <c r="M556" s="151">
        <v>45524</v>
      </c>
      <c r="N556" s="220">
        <v>45524.145833333336</v>
      </c>
      <c r="O556" s="220">
        <v>45524.145833333336</v>
      </c>
      <c r="P556" s="152">
        <v>45524.152777777781</v>
      </c>
      <c r="Q556" s="152">
        <v>45524.354166666664</v>
      </c>
      <c r="R556" s="220" t="s">
        <v>118</v>
      </c>
      <c r="S556" s="152" t="s">
        <v>118</v>
      </c>
      <c r="T556" s="152">
        <v>45524.427083333336</v>
      </c>
      <c r="U556" s="152">
        <v>45524.50277777778</v>
      </c>
      <c r="V556" s="219">
        <f t="shared" si="304"/>
        <v>0.20833333332848269</v>
      </c>
      <c r="W556" s="165">
        <v>0.20833333333333334</v>
      </c>
      <c r="X556" s="219" t="str">
        <f t="shared" si="305"/>
        <v>00:00</v>
      </c>
      <c r="Y556" s="96">
        <v>0</v>
      </c>
      <c r="Z556" s="96">
        <v>59</v>
      </c>
      <c r="AA556" s="96">
        <f t="shared" si="298"/>
        <v>59</v>
      </c>
      <c r="AB556" s="97">
        <f t="shared" si="299"/>
        <v>0</v>
      </c>
      <c r="AC556" s="97">
        <f t="shared" si="300"/>
        <v>3994.3100000000004</v>
      </c>
      <c r="AD556" s="98">
        <v>3994.31</v>
      </c>
      <c r="AE556" s="98">
        <v>4088</v>
      </c>
      <c r="AF556" s="98">
        <v>4090</v>
      </c>
      <c r="AG556" s="98">
        <f t="shared" si="301"/>
        <v>95.690000000000055</v>
      </c>
      <c r="AH556" s="99">
        <v>797.2</v>
      </c>
      <c r="AI556" s="100">
        <f t="shared" si="302"/>
        <v>3260548</v>
      </c>
      <c r="AJ556" s="100">
        <f t="shared" si="314"/>
        <v>0</v>
      </c>
      <c r="AK556" s="100">
        <v>0</v>
      </c>
      <c r="AL556" s="100">
        <v>0</v>
      </c>
      <c r="AM556" s="100">
        <v>0</v>
      </c>
      <c r="AN556" s="100">
        <v>0</v>
      </c>
      <c r="AO556" s="100">
        <v>0</v>
      </c>
      <c r="AP556" s="100">
        <f t="shared" si="303"/>
        <v>163028</v>
      </c>
      <c r="AQ556" s="101">
        <f t="shared" si="311"/>
        <v>3423576</v>
      </c>
      <c r="AR556" s="101">
        <v>0</v>
      </c>
      <c r="AS556" s="101">
        <v>0</v>
      </c>
      <c r="AT556" s="102" t="s">
        <v>33</v>
      </c>
      <c r="AU556" s="109" t="s">
        <v>118</v>
      </c>
      <c r="AV556" s="222">
        <v>0</v>
      </c>
      <c r="AW556" s="105">
        <v>0</v>
      </c>
      <c r="AX556" s="216">
        <f t="shared" si="312"/>
        <v>2.3396088019559915</v>
      </c>
      <c r="AY556" s="217">
        <f t="shared" si="313"/>
        <v>76285</v>
      </c>
      <c r="AZ556" s="107"/>
      <c r="BA556" s="94">
        <v>45524.145833333336</v>
      </c>
      <c r="BB556" s="94">
        <v>45524.152777777781</v>
      </c>
      <c r="BC556" s="94">
        <v>45524.152777777781</v>
      </c>
      <c r="BD556" s="94">
        <v>45524.334027777775</v>
      </c>
      <c r="BE556" s="95">
        <f t="shared" si="306"/>
        <v>0.18819444443943212</v>
      </c>
      <c r="BF556" s="95">
        <v>1.3888888888888888E-2</v>
      </c>
      <c r="BG556" s="95">
        <v>3.125E-2</v>
      </c>
      <c r="BH556" s="95">
        <f t="shared" si="307"/>
        <v>6.9444444452528842E-3</v>
      </c>
      <c r="BI556" s="95">
        <f t="shared" si="307"/>
        <v>0</v>
      </c>
      <c r="BJ556" s="95">
        <f t="shared" si="307"/>
        <v>0.18124999999417923</v>
      </c>
      <c r="BK556" s="95">
        <f t="shared" si="308"/>
        <v>0.18124999999417923</v>
      </c>
      <c r="BL556" s="95">
        <f t="shared" si="309"/>
        <v>0.13611111110529034</v>
      </c>
      <c r="BM556" s="95" t="str">
        <f t="shared" si="310"/>
        <v>00:00</v>
      </c>
      <c r="BN556" s="110"/>
    </row>
    <row r="557" spans="1:66" s="8" customFormat="1" ht="12.75" customHeight="1" x14ac:dyDescent="0.25">
      <c r="A557" s="150">
        <v>504</v>
      </c>
      <c r="B557" s="150">
        <v>74</v>
      </c>
      <c r="C557" s="90">
        <v>7</v>
      </c>
      <c r="D557" s="111" t="s">
        <v>148</v>
      </c>
      <c r="E557" s="210" t="s">
        <v>732</v>
      </c>
      <c r="F557" s="150" t="s">
        <v>16</v>
      </c>
      <c r="G557" s="150" t="s">
        <v>17</v>
      </c>
      <c r="H557" s="150" t="s">
        <v>150</v>
      </c>
      <c r="I557" s="150" t="s">
        <v>746</v>
      </c>
      <c r="J557" s="151">
        <v>45521</v>
      </c>
      <c r="K557" s="135" t="s">
        <v>117</v>
      </c>
      <c r="L557" s="135">
        <v>461000436</v>
      </c>
      <c r="M557" s="151">
        <v>45524</v>
      </c>
      <c r="N557" s="220">
        <v>45524.291666666664</v>
      </c>
      <c r="O557" s="220">
        <v>45524.291666666664</v>
      </c>
      <c r="P557" s="152">
        <v>45524.295138888891</v>
      </c>
      <c r="Q557" s="152">
        <v>45524.5</v>
      </c>
      <c r="R557" s="220" t="s">
        <v>118</v>
      </c>
      <c r="S557" s="152">
        <v>45524.583333333336</v>
      </c>
      <c r="T557" s="152">
        <v>45524.746527777781</v>
      </c>
      <c r="U557" s="152">
        <v>45524.832638888889</v>
      </c>
      <c r="V557" s="219">
        <f t="shared" si="304"/>
        <v>0.20833333333575865</v>
      </c>
      <c r="W557" s="165">
        <v>0.20833333333333334</v>
      </c>
      <c r="X557" s="219">
        <f t="shared" si="305"/>
        <v>2.4253099528692701E-12</v>
      </c>
      <c r="Y557" s="96">
        <v>0</v>
      </c>
      <c r="Z557" s="96">
        <v>58</v>
      </c>
      <c r="AA557" s="96">
        <f t="shared" si="298"/>
        <v>58</v>
      </c>
      <c r="AB557" s="97">
        <f t="shared" si="299"/>
        <v>0</v>
      </c>
      <c r="AC557" s="97">
        <f t="shared" si="300"/>
        <v>3896.6800000000003</v>
      </c>
      <c r="AD557" s="98">
        <v>3896.68</v>
      </c>
      <c r="AE557" s="98">
        <v>4015.5</v>
      </c>
      <c r="AF557" s="98">
        <v>4015.8</v>
      </c>
      <c r="AG557" s="98">
        <f t="shared" si="301"/>
        <v>119.12000000000035</v>
      </c>
      <c r="AH557" s="99">
        <v>672.5</v>
      </c>
      <c r="AI557" s="100">
        <f t="shared" si="302"/>
        <v>2700625.5</v>
      </c>
      <c r="AJ557" s="100">
        <f t="shared" si="314"/>
        <v>0</v>
      </c>
      <c r="AK557" s="100">
        <v>0</v>
      </c>
      <c r="AL557" s="100">
        <v>15440</v>
      </c>
      <c r="AM557" s="100">
        <v>0</v>
      </c>
      <c r="AN557" s="100">
        <v>0</v>
      </c>
      <c r="AO557" s="100">
        <v>0</v>
      </c>
      <c r="AP557" s="100">
        <f t="shared" si="303"/>
        <v>135804</v>
      </c>
      <c r="AQ557" s="101">
        <f t="shared" si="311"/>
        <v>2851870</v>
      </c>
      <c r="AR557" s="101">
        <v>0</v>
      </c>
      <c r="AS557" s="101">
        <v>0</v>
      </c>
      <c r="AT557" s="102" t="s">
        <v>34</v>
      </c>
      <c r="AU557" s="109" t="s">
        <v>118</v>
      </c>
      <c r="AV557" s="222">
        <v>0</v>
      </c>
      <c r="AW557" s="105">
        <v>2</v>
      </c>
      <c r="AX557" s="216">
        <f t="shared" si="312"/>
        <v>2.9662831814333468</v>
      </c>
      <c r="AY557" s="217">
        <f t="shared" si="313"/>
        <v>80109</v>
      </c>
      <c r="AZ557" s="107"/>
      <c r="BA557" s="94">
        <v>45524.291666666664</v>
      </c>
      <c r="BB557" s="94">
        <v>45524.295138888891</v>
      </c>
      <c r="BC557" s="94">
        <v>45524.375</v>
      </c>
      <c r="BD557" s="94">
        <v>45524.597222222219</v>
      </c>
      <c r="BE557" s="95">
        <f t="shared" si="306"/>
        <v>0.30555555555474712</v>
      </c>
      <c r="BF557" s="95">
        <v>7.2916666666666671E-2</v>
      </c>
      <c r="BG557" s="95">
        <v>5.9027777777777776E-2</v>
      </c>
      <c r="BH557" s="95">
        <f t="shared" si="307"/>
        <v>3.4722222262644209E-3</v>
      </c>
      <c r="BI557" s="95">
        <f t="shared" si="307"/>
        <v>7.9861111109494232E-2</v>
      </c>
      <c r="BJ557" s="95">
        <f t="shared" si="307"/>
        <v>0.22222222221898846</v>
      </c>
      <c r="BK557" s="95">
        <f t="shared" si="308"/>
        <v>0.30208333332848269</v>
      </c>
      <c r="BL557" s="95">
        <f t="shared" si="309"/>
        <v>0.17013888888403822</v>
      </c>
      <c r="BM557" s="95">
        <f t="shared" si="310"/>
        <v>9.7222222221413773E-2</v>
      </c>
      <c r="BN557" s="110"/>
    </row>
    <row r="558" spans="1:66" s="8" customFormat="1" ht="12.75" customHeight="1" x14ac:dyDescent="0.25">
      <c r="A558" s="150">
        <v>505</v>
      </c>
      <c r="B558" s="150">
        <v>75</v>
      </c>
      <c r="C558" s="90">
        <v>8</v>
      </c>
      <c r="D558" s="111" t="s">
        <v>148</v>
      </c>
      <c r="E558" s="210" t="s">
        <v>732</v>
      </c>
      <c r="F558" s="150" t="s">
        <v>16</v>
      </c>
      <c r="G558" s="150" t="s">
        <v>17</v>
      </c>
      <c r="H558" s="150" t="s">
        <v>150</v>
      </c>
      <c r="I558" s="150" t="s">
        <v>747</v>
      </c>
      <c r="J558" s="151">
        <v>45521</v>
      </c>
      <c r="K558" s="135" t="s">
        <v>122</v>
      </c>
      <c r="L558" s="135">
        <v>461000437</v>
      </c>
      <c r="M558" s="151">
        <v>45525</v>
      </c>
      <c r="N558" s="220">
        <v>45524.708333333336</v>
      </c>
      <c r="O558" s="220">
        <v>45524.6875</v>
      </c>
      <c r="P558" s="152">
        <v>45524.715277777781</v>
      </c>
      <c r="Q558" s="152">
        <v>45524.895833333336</v>
      </c>
      <c r="R558" s="220">
        <v>45524.708333333336</v>
      </c>
      <c r="S558" s="152" t="s">
        <v>118</v>
      </c>
      <c r="T558" s="152">
        <v>45525.083333333336</v>
      </c>
      <c r="U558" s="152">
        <v>45525.215277777781</v>
      </c>
      <c r="V558" s="219">
        <f t="shared" si="304"/>
        <v>0.20833333333575865</v>
      </c>
      <c r="W558" s="165">
        <v>0.20833333333333334</v>
      </c>
      <c r="X558" s="219">
        <f t="shared" si="305"/>
        <v>2.4253099528692701E-12</v>
      </c>
      <c r="Y558" s="96">
        <v>0</v>
      </c>
      <c r="Z558" s="96">
        <v>59</v>
      </c>
      <c r="AA558" s="96">
        <f t="shared" si="298"/>
        <v>59</v>
      </c>
      <c r="AB558" s="97">
        <f t="shared" si="299"/>
        <v>0</v>
      </c>
      <c r="AC558" s="97">
        <f t="shared" si="300"/>
        <v>4040.7300000000005</v>
      </c>
      <c r="AD558" s="98">
        <v>4040.73</v>
      </c>
      <c r="AE558" s="98">
        <v>4093</v>
      </c>
      <c r="AF558" s="98">
        <v>4103.8</v>
      </c>
      <c r="AG558" s="98">
        <f t="shared" si="301"/>
        <v>63.070000000000164</v>
      </c>
      <c r="AH558" s="99">
        <v>672.5</v>
      </c>
      <c r="AI558" s="100">
        <f t="shared" si="302"/>
        <v>2759805.5</v>
      </c>
      <c r="AJ558" s="100">
        <f t="shared" si="314"/>
        <v>0</v>
      </c>
      <c r="AK558" s="100">
        <v>0</v>
      </c>
      <c r="AL558" s="100">
        <v>24290</v>
      </c>
      <c r="AM558" s="100">
        <v>0</v>
      </c>
      <c r="AN558" s="100">
        <v>0</v>
      </c>
      <c r="AO558" s="100">
        <v>0</v>
      </c>
      <c r="AP558" s="100">
        <f t="shared" si="303"/>
        <v>139205</v>
      </c>
      <c r="AQ558" s="101">
        <f t="shared" si="311"/>
        <v>2923301</v>
      </c>
      <c r="AR558" s="101">
        <v>0</v>
      </c>
      <c r="AS558" s="101">
        <v>0</v>
      </c>
      <c r="AT558" s="102" t="s">
        <v>33</v>
      </c>
      <c r="AU558" s="109">
        <v>6</v>
      </c>
      <c r="AV558" s="222">
        <f>12.68-9.18</f>
        <v>3.5</v>
      </c>
      <c r="AW558" s="105">
        <v>0</v>
      </c>
      <c r="AX558" s="216">
        <f t="shared" si="312"/>
        <v>1.5368682684341382</v>
      </c>
      <c r="AY558" s="217">
        <f t="shared" si="313"/>
        <v>42415</v>
      </c>
      <c r="AZ558" s="107"/>
      <c r="BA558" s="94">
        <v>45524.708333333336</v>
      </c>
      <c r="BB558" s="94">
        <v>45524.715277777781</v>
      </c>
      <c r="BC558" s="94">
        <v>45524.715277777781</v>
      </c>
      <c r="BD558" s="94">
        <v>45524.913194444445</v>
      </c>
      <c r="BE558" s="95">
        <f t="shared" si="306"/>
        <v>0.20486111110949423</v>
      </c>
      <c r="BF558" s="95">
        <v>2.9166666666666667E-2</v>
      </c>
      <c r="BG558" s="95">
        <v>0</v>
      </c>
      <c r="BH558" s="95">
        <f t="shared" si="307"/>
        <v>6.9444444452528842E-3</v>
      </c>
      <c r="BI558" s="95">
        <f t="shared" si="307"/>
        <v>0</v>
      </c>
      <c r="BJ558" s="95">
        <f t="shared" si="307"/>
        <v>0.19791666666424135</v>
      </c>
      <c r="BK558" s="95">
        <f t="shared" si="308"/>
        <v>0.19791666666424135</v>
      </c>
      <c r="BL558" s="95">
        <f t="shared" si="309"/>
        <v>0.16874999999757467</v>
      </c>
      <c r="BM558" s="95" t="str">
        <f t="shared" si="310"/>
        <v>00:00</v>
      </c>
      <c r="BN558" s="110"/>
    </row>
    <row r="559" spans="1:66" s="8" customFormat="1" ht="12.75" customHeight="1" x14ac:dyDescent="0.25">
      <c r="A559" s="150">
        <v>506</v>
      </c>
      <c r="B559" s="150">
        <v>76</v>
      </c>
      <c r="C559" s="90">
        <v>10</v>
      </c>
      <c r="D559" s="111" t="s">
        <v>113</v>
      </c>
      <c r="E559" s="210" t="s">
        <v>711</v>
      </c>
      <c r="F559" s="150" t="s">
        <v>32</v>
      </c>
      <c r="G559" s="150" t="s">
        <v>8</v>
      </c>
      <c r="H559" s="150" t="s">
        <v>182</v>
      </c>
      <c r="I559" s="150" t="s">
        <v>748</v>
      </c>
      <c r="J559" s="151">
        <v>45524</v>
      </c>
      <c r="K559" s="135" t="s">
        <v>117</v>
      </c>
      <c r="L559" s="135">
        <v>261005936</v>
      </c>
      <c r="M559" s="151">
        <v>45525</v>
      </c>
      <c r="N559" s="220">
        <v>45524.854166666664</v>
      </c>
      <c r="O559" s="220">
        <v>45524.822916666664</v>
      </c>
      <c r="P559" s="152">
        <v>45524.857638888891</v>
      </c>
      <c r="Q559" s="152">
        <v>45524.989583333336</v>
      </c>
      <c r="R559" s="220">
        <v>45524.854166666664</v>
      </c>
      <c r="S559" s="152">
        <v>45525.180555555555</v>
      </c>
      <c r="T559" s="152">
        <v>45525.354166666664</v>
      </c>
      <c r="U559" s="152">
        <v>45525.488194444442</v>
      </c>
      <c r="V559" s="219">
        <f t="shared" si="304"/>
        <v>0.16666666667151731</v>
      </c>
      <c r="W559" s="165">
        <v>0.20833333333333334</v>
      </c>
      <c r="X559" s="219" t="str">
        <f t="shared" si="305"/>
        <v>00:00</v>
      </c>
      <c r="Y559" s="96">
        <v>0</v>
      </c>
      <c r="Z559" s="96">
        <v>59</v>
      </c>
      <c r="AA559" s="96">
        <f t="shared" si="298"/>
        <v>59</v>
      </c>
      <c r="AB559" s="97">
        <f t="shared" si="299"/>
        <v>0</v>
      </c>
      <c r="AC559" s="97">
        <f t="shared" si="300"/>
        <v>4062.29</v>
      </c>
      <c r="AD559" s="98">
        <v>4062.29</v>
      </c>
      <c r="AE559" s="98">
        <v>4103</v>
      </c>
      <c r="AF559" s="98">
        <v>4109.8</v>
      </c>
      <c r="AG559" s="98">
        <f t="shared" si="301"/>
        <v>47.510000000000218</v>
      </c>
      <c r="AH559" s="99">
        <v>1484</v>
      </c>
      <c r="AI559" s="100">
        <f t="shared" si="302"/>
        <v>6098943.2000000002</v>
      </c>
      <c r="AJ559" s="100">
        <f>(0.2*AH559)*2</f>
        <v>593.6</v>
      </c>
      <c r="AK559" s="100">
        <v>0</v>
      </c>
      <c r="AL559" s="100">
        <v>0</v>
      </c>
      <c r="AM559" s="100">
        <v>0</v>
      </c>
      <c r="AN559" s="100">
        <v>0</v>
      </c>
      <c r="AO559" s="100">
        <v>0</v>
      </c>
      <c r="AP559" s="100">
        <f t="shared" si="303"/>
        <v>304977</v>
      </c>
      <c r="AQ559" s="101">
        <f t="shared" si="311"/>
        <v>6404514</v>
      </c>
      <c r="AR559" s="101">
        <v>0</v>
      </c>
      <c r="AS559" s="101">
        <v>0</v>
      </c>
      <c r="AT559" s="102" t="s">
        <v>33</v>
      </c>
      <c r="AU559" s="109" t="s">
        <v>118</v>
      </c>
      <c r="AV559" s="222">
        <v>0</v>
      </c>
      <c r="AW559" s="105">
        <v>3</v>
      </c>
      <c r="AX559" s="216">
        <f t="shared" si="312"/>
        <v>1.1560173244440171</v>
      </c>
      <c r="AY559" s="217">
        <f t="shared" si="313"/>
        <v>70505</v>
      </c>
      <c r="AZ559" s="107"/>
      <c r="BA559" s="94">
        <v>45524.854166666664</v>
      </c>
      <c r="BB559" s="94">
        <v>45524.857638888891</v>
      </c>
      <c r="BC559" s="94">
        <v>45524.857638888891</v>
      </c>
      <c r="BD559" s="94">
        <v>45525.166666666664</v>
      </c>
      <c r="BE559" s="95">
        <f t="shared" si="306"/>
        <v>0.3125</v>
      </c>
      <c r="BF559" s="95">
        <v>7.4999999999999997E-2</v>
      </c>
      <c r="BG559" s="95">
        <v>7.6388888888888895E-2</v>
      </c>
      <c r="BH559" s="95">
        <f t="shared" si="307"/>
        <v>3.4722222262644209E-3</v>
      </c>
      <c r="BI559" s="95">
        <f t="shared" si="307"/>
        <v>0</v>
      </c>
      <c r="BJ559" s="95">
        <f t="shared" si="307"/>
        <v>0.30902777777373558</v>
      </c>
      <c r="BK559" s="95">
        <f t="shared" si="308"/>
        <v>0.30902777777373558</v>
      </c>
      <c r="BL559" s="95">
        <f t="shared" si="309"/>
        <v>0.15763888888484667</v>
      </c>
      <c r="BM559" s="95">
        <f t="shared" si="310"/>
        <v>0.10416666666666666</v>
      </c>
      <c r="BN559" s="110"/>
    </row>
    <row r="560" spans="1:66" s="8" customFormat="1" ht="12.75" customHeight="1" x14ac:dyDescent="0.25">
      <c r="A560" s="150">
        <v>507</v>
      </c>
      <c r="B560" s="150">
        <v>77</v>
      </c>
      <c r="C560" s="90">
        <v>9</v>
      </c>
      <c r="D560" s="111" t="s">
        <v>148</v>
      </c>
      <c r="E560" s="210" t="s">
        <v>732</v>
      </c>
      <c r="F560" s="150" t="s">
        <v>16</v>
      </c>
      <c r="G560" s="150" t="s">
        <v>17</v>
      </c>
      <c r="H560" s="150" t="s">
        <v>150</v>
      </c>
      <c r="I560" s="150" t="s">
        <v>749</v>
      </c>
      <c r="J560" s="151">
        <v>45521</v>
      </c>
      <c r="K560" s="135" t="s">
        <v>122</v>
      </c>
      <c r="L560" s="135">
        <v>461000438</v>
      </c>
      <c r="M560" s="151">
        <v>45525</v>
      </c>
      <c r="N560" s="220">
        <v>45525.28125</v>
      </c>
      <c r="O560" s="220">
        <v>45525.25</v>
      </c>
      <c r="P560" s="152">
        <v>45525.284722222219</v>
      </c>
      <c r="Q560" s="152">
        <v>45525.458333333336</v>
      </c>
      <c r="R560" s="220">
        <v>45525.28125</v>
      </c>
      <c r="S560" s="152">
        <v>45525.520833333336</v>
      </c>
      <c r="T560" s="152">
        <v>45525.534722222219</v>
      </c>
      <c r="U560" s="152">
        <v>45525.649305555555</v>
      </c>
      <c r="V560" s="219">
        <f t="shared" si="304"/>
        <v>0.20833333333575865</v>
      </c>
      <c r="W560" s="165">
        <v>0.20833333333333334</v>
      </c>
      <c r="X560" s="219">
        <f t="shared" si="305"/>
        <v>2.4253099528692701E-12</v>
      </c>
      <c r="Y560" s="96">
        <v>1</v>
      </c>
      <c r="Z560" s="96">
        <v>58</v>
      </c>
      <c r="AA560" s="96">
        <f t="shared" si="298"/>
        <v>59</v>
      </c>
      <c r="AB560" s="97">
        <f t="shared" si="299"/>
        <v>68.041016949152549</v>
      </c>
      <c r="AC560" s="97">
        <f t="shared" si="300"/>
        <v>3946.3789830508476</v>
      </c>
      <c r="AD560" s="98">
        <v>4014.42</v>
      </c>
      <c r="AE560" s="98">
        <v>4093.2</v>
      </c>
      <c r="AF560" s="98">
        <v>4097.3999999999996</v>
      </c>
      <c r="AG560" s="98">
        <f t="shared" si="301"/>
        <v>82.979999999999563</v>
      </c>
      <c r="AH560" s="99">
        <v>672.5</v>
      </c>
      <c r="AI560" s="100">
        <f t="shared" si="302"/>
        <v>2755501.4999999995</v>
      </c>
      <c r="AJ560" s="100">
        <f t="shared" ref="AJ560:AJ565" si="315">(0*AH560)*2</f>
        <v>0</v>
      </c>
      <c r="AK560" s="100">
        <v>0</v>
      </c>
      <c r="AL560" s="100">
        <v>24290</v>
      </c>
      <c r="AM560" s="100">
        <v>0</v>
      </c>
      <c r="AN560" s="100">
        <v>0</v>
      </c>
      <c r="AO560" s="100">
        <v>0</v>
      </c>
      <c r="AP560" s="100">
        <f t="shared" si="303"/>
        <v>138990</v>
      </c>
      <c r="AQ560" s="101">
        <f t="shared" si="311"/>
        <v>2918782</v>
      </c>
      <c r="AR560" s="101">
        <v>0</v>
      </c>
      <c r="AS560" s="101">
        <v>0</v>
      </c>
      <c r="AT560" s="102" t="s">
        <v>33</v>
      </c>
      <c r="AU560" s="109">
        <v>2</v>
      </c>
      <c r="AV560" s="222">
        <f>5.4-3.9</f>
        <v>1.5000000000000004</v>
      </c>
      <c r="AW560" s="105">
        <v>1</v>
      </c>
      <c r="AX560" s="216">
        <f t="shared" si="312"/>
        <v>2.0251867037633517</v>
      </c>
      <c r="AY560" s="217">
        <f t="shared" si="313"/>
        <v>55805</v>
      </c>
      <c r="AZ560" s="107"/>
      <c r="BA560" s="94">
        <v>45525.28125</v>
      </c>
      <c r="BB560" s="94">
        <v>45525.284722222219</v>
      </c>
      <c r="BC560" s="94">
        <v>45525.284722222219</v>
      </c>
      <c r="BD560" s="94">
        <v>45525.511805555558</v>
      </c>
      <c r="BE560" s="95">
        <f t="shared" si="306"/>
        <v>0.2305555555576575</v>
      </c>
      <c r="BF560" s="95">
        <v>4.5138888888888888E-2</v>
      </c>
      <c r="BG560" s="95">
        <v>2.0833333333333333E-3</v>
      </c>
      <c r="BH560" s="95">
        <f t="shared" si="307"/>
        <v>3.4722222189884633E-3</v>
      </c>
      <c r="BI560" s="95">
        <f t="shared" si="307"/>
        <v>0</v>
      </c>
      <c r="BJ560" s="95">
        <f t="shared" si="307"/>
        <v>0.22708333333866904</v>
      </c>
      <c r="BK560" s="95">
        <f t="shared" si="308"/>
        <v>0.22708333333866904</v>
      </c>
      <c r="BL560" s="95">
        <f t="shared" si="309"/>
        <v>0.17986111111644681</v>
      </c>
      <c r="BM560" s="95">
        <f t="shared" si="310"/>
        <v>2.2222222224324156E-2</v>
      </c>
      <c r="BN560" s="110"/>
    </row>
    <row r="561" spans="1:66" s="8" customFormat="1" ht="12.75" customHeight="1" x14ac:dyDescent="0.25">
      <c r="A561" s="150">
        <v>508</v>
      </c>
      <c r="B561" s="150">
        <v>78</v>
      </c>
      <c r="C561" s="90">
        <v>10</v>
      </c>
      <c r="D561" s="111" t="s">
        <v>148</v>
      </c>
      <c r="E561" s="210" t="s">
        <v>732</v>
      </c>
      <c r="F561" s="150" t="s">
        <v>16</v>
      </c>
      <c r="G561" s="150" t="s">
        <v>17</v>
      </c>
      <c r="H561" s="150" t="s">
        <v>150</v>
      </c>
      <c r="I561" s="150" t="s">
        <v>750</v>
      </c>
      <c r="J561" s="151">
        <v>45522</v>
      </c>
      <c r="K561" s="135" t="s">
        <v>117</v>
      </c>
      <c r="L561" s="135">
        <v>461000439</v>
      </c>
      <c r="M561" s="151">
        <v>45526</v>
      </c>
      <c r="N561" s="220">
        <v>45525.541666666664</v>
      </c>
      <c r="O561" s="220">
        <v>45525.541666666664</v>
      </c>
      <c r="P561" s="152">
        <v>45525.555555555555</v>
      </c>
      <c r="Q561" s="152">
        <v>45525.75</v>
      </c>
      <c r="R561" s="220" t="s">
        <v>118</v>
      </c>
      <c r="S561" s="152" t="s">
        <v>118</v>
      </c>
      <c r="T561" s="152">
        <v>45525.8125</v>
      </c>
      <c r="U561" s="152">
        <v>45525.975694444445</v>
      </c>
      <c r="V561" s="219">
        <f t="shared" si="304"/>
        <v>0.20833333333575865</v>
      </c>
      <c r="W561" s="165">
        <v>0.20833333333333334</v>
      </c>
      <c r="X561" s="219">
        <f t="shared" si="305"/>
        <v>2.4253099528692701E-12</v>
      </c>
      <c r="Y561" s="96">
        <v>13</v>
      </c>
      <c r="Z561" s="96">
        <v>45</v>
      </c>
      <c r="AA561" s="96">
        <f t="shared" si="298"/>
        <v>58</v>
      </c>
      <c r="AB561" s="97">
        <f t="shared" si="299"/>
        <v>908.80534482758628</v>
      </c>
      <c r="AC561" s="97">
        <f t="shared" si="300"/>
        <v>3145.8646551724141</v>
      </c>
      <c r="AD561" s="98">
        <v>4054.67</v>
      </c>
      <c r="AE561" s="98">
        <v>4058</v>
      </c>
      <c r="AF561" s="98">
        <v>4080.6</v>
      </c>
      <c r="AG561" s="98">
        <f t="shared" si="301"/>
        <v>25.929999999999836</v>
      </c>
      <c r="AH561" s="99">
        <v>672.5</v>
      </c>
      <c r="AI561" s="100">
        <f t="shared" si="302"/>
        <v>2744203.5</v>
      </c>
      <c r="AJ561" s="100">
        <f t="shared" si="315"/>
        <v>0</v>
      </c>
      <c r="AK561" s="100">
        <v>0</v>
      </c>
      <c r="AL561" s="100">
        <v>24140</v>
      </c>
      <c r="AM561" s="100">
        <v>0</v>
      </c>
      <c r="AN561" s="100">
        <v>0</v>
      </c>
      <c r="AO561" s="100">
        <v>0</v>
      </c>
      <c r="AP561" s="100">
        <f t="shared" si="303"/>
        <v>138418</v>
      </c>
      <c r="AQ561" s="101">
        <f t="shared" si="311"/>
        <v>2906762</v>
      </c>
      <c r="AR561" s="101">
        <v>0</v>
      </c>
      <c r="AS561" s="101">
        <v>0</v>
      </c>
      <c r="AT561" s="102" t="s">
        <v>34</v>
      </c>
      <c r="AU561" s="109">
        <v>16</v>
      </c>
      <c r="AV561" s="222">
        <f>37.2-19.2</f>
        <v>18.000000000000004</v>
      </c>
      <c r="AW561" s="105">
        <v>0</v>
      </c>
      <c r="AX561" s="216">
        <f t="shared" si="312"/>
        <v>0.63544576777924422</v>
      </c>
      <c r="AY561" s="217">
        <f t="shared" si="313"/>
        <v>17438</v>
      </c>
      <c r="AZ561" s="107"/>
      <c r="BA561" s="94">
        <v>45525.541666666664</v>
      </c>
      <c r="BB561" s="94">
        <v>45525.555555555555</v>
      </c>
      <c r="BC561" s="94">
        <v>45525.561111111114</v>
      </c>
      <c r="BD561" s="94">
        <v>45525.755555555559</v>
      </c>
      <c r="BE561" s="95">
        <f t="shared" si="306"/>
        <v>0.21388888889487134</v>
      </c>
      <c r="BF561" s="95">
        <v>5.2777777777777778E-2</v>
      </c>
      <c r="BG561" s="95">
        <v>1.3194444444444444E-2</v>
      </c>
      <c r="BH561" s="95">
        <f t="shared" si="307"/>
        <v>1.3888888890505768E-2</v>
      </c>
      <c r="BI561" s="95">
        <f t="shared" si="307"/>
        <v>5.5555555591126904E-3</v>
      </c>
      <c r="BJ561" s="95">
        <f t="shared" si="307"/>
        <v>0.19444444444525288</v>
      </c>
      <c r="BK561" s="95">
        <f t="shared" si="308"/>
        <v>0.20000000000436557</v>
      </c>
      <c r="BL561" s="95">
        <f t="shared" si="309"/>
        <v>0.13402777778214334</v>
      </c>
      <c r="BM561" s="95">
        <f t="shared" si="310"/>
        <v>5.5555555615380003E-3</v>
      </c>
      <c r="BN561" s="110"/>
    </row>
    <row r="562" spans="1:66" s="8" customFormat="1" ht="12.75" customHeight="1" x14ac:dyDescent="0.25">
      <c r="A562" s="150">
        <v>509</v>
      </c>
      <c r="B562" s="150">
        <v>79</v>
      </c>
      <c r="C562" s="90">
        <v>9</v>
      </c>
      <c r="D562" s="111" t="s">
        <v>113</v>
      </c>
      <c r="E562" s="210" t="s">
        <v>681</v>
      </c>
      <c r="F562" s="150" t="s">
        <v>27</v>
      </c>
      <c r="G562" s="150" t="s">
        <v>12</v>
      </c>
      <c r="H562" s="150" t="s">
        <v>115</v>
      </c>
      <c r="I562" s="150" t="s">
        <v>751</v>
      </c>
      <c r="J562" s="151">
        <v>45525</v>
      </c>
      <c r="K562" s="135" t="s">
        <v>122</v>
      </c>
      <c r="L562" s="135">
        <v>282001008</v>
      </c>
      <c r="M562" s="151">
        <v>45526</v>
      </c>
      <c r="N562" s="220">
        <v>45525.791666666664</v>
      </c>
      <c r="O562" s="220">
        <v>45525.791666666664</v>
      </c>
      <c r="P562" s="152">
        <v>45525.795138888891</v>
      </c>
      <c r="Q562" s="152">
        <v>45525.989583333336</v>
      </c>
      <c r="R562" s="220" t="s">
        <v>118</v>
      </c>
      <c r="S562" s="152">
        <v>45526.03125</v>
      </c>
      <c r="T562" s="152">
        <v>45526.0625</v>
      </c>
      <c r="U562" s="152">
        <v>45526.184027777781</v>
      </c>
      <c r="V562" s="219">
        <f t="shared" si="304"/>
        <v>0.19791666667151731</v>
      </c>
      <c r="W562" s="165">
        <v>0.20833333333333334</v>
      </c>
      <c r="X562" s="219" t="str">
        <f t="shared" si="305"/>
        <v>00:00</v>
      </c>
      <c r="Y562" s="96">
        <v>0</v>
      </c>
      <c r="Z562" s="96">
        <v>59</v>
      </c>
      <c r="AA562" s="96">
        <f t="shared" si="298"/>
        <v>59</v>
      </c>
      <c r="AB562" s="97">
        <f t="shared" si="299"/>
        <v>0</v>
      </c>
      <c r="AC562" s="97">
        <f t="shared" si="300"/>
        <v>4015.09</v>
      </c>
      <c r="AD562" s="98">
        <v>4015.09</v>
      </c>
      <c r="AE562" s="98">
        <v>4105.8999999999996</v>
      </c>
      <c r="AF562" s="98">
        <v>4114.3999999999996</v>
      </c>
      <c r="AG562" s="98">
        <f t="shared" si="301"/>
        <v>99.309999999999491</v>
      </c>
      <c r="AH562" s="99">
        <v>1586.7</v>
      </c>
      <c r="AI562" s="100">
        <f t="shared" si="302"/>
        <v>6528318.4799999995</v>
      </c>
      <c r="AJ562" s="100">
        <f t="shared" si="315"/>
        <v>0</v>
      </c>
      <c r="AK562" s="100">
        <v>0</v>
      </c>
      <c r="AL562" s="100">
        <v>24290</v>
      </c>
      <c r="AM562" s="100">
        <v>0</v>
      </c>
      <c r="AN562" s="100">
        <v>0</v>
      </c>
      <c r="AO562" s="100">
        <f>IFERROR(AF562*20+(((AJ562/AH562)/2)*20),0)</f>
        <v>82288</v>
      </c>
      <c r="AP562" s="100">
        <f t="shared" si="303"/>
        <v>331745</v>
      </c>
      <c r="AQ562" s="101">
        <f t="shared" si="311"/>
        <v>6966642</v>
      </c>
      <c r="AR562" s="101">
        <v>0</v>
      </c>
      <c r="AS562" s="101">
        <v>0</v>
      </c>
      <c r="AT562" s="102" t="s">
        <v>33</v>
      </c>
      <c r="AU562" s="109">
        <v>3</v>
      </c>
      <c r="AV562" s="222">
        <f>10-8</f>
        <v>2</v>
      </c>
      <c r="AW562" s="105">
        <v>1</v>
      </c>
      <c r="AX562" s="216">
        <f t="shared" si="312"/>
        <v>2.4137176745090292</v>
      </c>
      <c r="AY562" s="217">
        <f t="shared" si="313"/>
        <v>157576</v>
      </c>
      <c r="AZ562" s="107"/>
      <c r="BA562" s="94">
        <v>45525.791666666664</v>
      </c>
      <c r="BB562" s="94">
        <v>45525.795138888891</v>
      </c>
      <c r="BC562" s="94">
        <v>45525.822916666664</v>
      </c>
      <c r="BD562" s="94">
        <v>45526.027777777781</v>
      </c>
      <c r="BE562" s="95">
        <f t="shared" si="306"/>
        <v>0.23611111111677019</v>
      </c>
      <c r="BF562" s="95">
        <v>6.8750000000000006E-2</v>
      </c>
      <c r="BG562" s="95">
        <v>6.9444444444444441E-3</v>
      </c>
      <c r="BH562" s="95">
        <f t="shared" si="307"/>
        <v>3.4722222262644209E-3</v>
      </c>
      <c r="BI562" s="95">
        <f t="shared" si="307"/>
        <v>2.7777777773735579E-2</v>
      </c>
      <c r="BJ562" s="95">
        <f t="shared" si="307"/>
        <v>0.20486111111677019</v>
      </c>
      <c r="BK562" s="95">
        <f t="shared" si="308"/>
        <v>0.23263888889050577</v>
      </c>
      <c r="BL562" s="95">
        <f t="shared" si="309"/>
        <v>0.15694444444606132</v>
      </c>
      <c r="BM562" s="95">
        <f t="shared" si="310"/>
        <v>2.7777777783436847E-2</v>
      </c>
      <c r="BN562" s="110"/>
    </row>
    <row r="563" spans="1:66" s="8" customFormat="1" ht="12.75" customHeight="1" x14ac:dyDescent="0.25">
      <c r="A563" s="153">
        <v>510</v>
      </c>
      <c r="B563" s="150">
        <v>80</v>
      </c>
      <c r="C563" s="90">
        <v>11</v>
      </c>
      <c r="D563" s="111" t="s">
        <v>113</v>
      </c>
      <c r="E563" s="210" t="s">
        <v>711</v>
      </c>
      <c r="F563" s="150" t="s">
        <v>32</v>
      </c>
      <c r="G563" s="150" t="s">
        <v>8</v>
      </c>
      <c r="H563" s="150" t="s">
        <v>135</v>
      </c>
      <c r="I563" s="150" t="s">
        <v>752</v>
      </c>
      <c r="J563" s="151">
        <v>45525</v>
      </c>
      <c r="K563" s="135" t="s">
        <v>117</v>
      </c>
      <c r="L563" s="190">
        <v>261005938</v>
      </c>
      <c r="M563" s="191">
        <v>45526</v>
      </c>
      <c r="N563" s="220">
        <v>45526.010416666664</v>
      </c>
      <c r="O563" s="220">
        <v>45526.010416666664</v>
      </c>
      <c r="P563" s="152">
        <v>45526.013888888891</v>
      </c>
      <c r="Q563" s="152">
        <v>45526.208333333336</v>
      </c>
      <c r="R563" s="220" t="s">
        <v>118</v>
      </c>
      <c r="S563" s="152" t="s">
        <v>118</v>
      </c>
      <c r="T563" s="152">
        <v>45526.298611111109</v>
      </c>
      <c r="U563" s="152">
        <v>45526.435416666667</v>
      </c>
      <c r="V563" s="219">
        <f t="shared" si="304"/>
        <v>0.19791666667151731</v>
      </c>
      <c r="W563" s="165">
        <v>0.20833333333333334</v>
      </c>
      <c r="X563" s="219" t="str">
        <f t="shared" si="305"/>
        <v>00:00</v>
      </c>
      <c r="Y563" s="96">
        <v>0</v>
      </c>
      <c r="Z563" s="96">
        <v>58</v>
      </c>
      <c r="AA563" s="96">
        <f t="shared" si="298"/>
        <v>58</v>
      </c>
      <c r="AB563" s="97">
        <f t="shared" si="299"/>
        <v>0</v>
      </c>
      <c r="AC563" s="97">
        <f t="shared" si="300"/>
        <v>3998.1599999999994</v>
      </c>
      <c r="AD563" s="98">
        <v>3998.16</v>
      </c>
      <c r="AE563" s="98">
        <v>4040.4</v>
      </c>
      <c r="AF563" s="98">
        <v>4049.8</v>
      </c>
      <c r="AG563" s="98">
        <f t="shared" si="301"/>
        <v>51.640000000000327</v>
      </c>
      <c r="AH563" s="99">
        <v>797.2</v>
      </c>
      <c r="AI563" s="100">
        <f t="shared" si="302"/>
        <v>3228500.5600000005</v>
      </c>
      <c r="AJ563" s="100">
        <f t="shared" si="315"/>
        <v>0</v>
      </c>
      <c r="AK563" s="100">
        <v>0</v>
      </c>
      <c r="AL563" s="100">
        <v>24140</v>
      </c>
      <c r="AM563" s="100">
        <v>0</v>
      </c>
      <c r="AN563" s="100">
        <v>0</v>
      </c>
      <c r="AO563" s="100">
        <v>0</v>
      </c>
      <c r="AP563" s="100">
        <f t="shared" si="303"/>
        <v>162633</v>
      </c>
      <c r="AQ563" s="101">
        <f t="shared" si="311"/>
        <v>3415274</v>
      </c>
      <c r="AR563" s="101">
        <v>0</v>
      </c>
      <c r="AS563" s="101">
        <v>0</v>
      </c>
      <c r="AT563" s="102" t="s">
        <v>34</v>
      </c>
      <c r="AU563" s="109">
        <v>2</v>
      </c>
      <c r="AV563" s="222">
        <f>11.2-9.2</f>
        <v>2</v>
      </c>
      <c r="AW563" s="105">
        <v>0</v>
      </c>
      <c r="AX563" s="216">
        <f t="shared" si="312"/>
        <v>1.2751246975159347</v>
      </c>
      <c r="AY563" s="217">
        <f t="shared" si="313"/>
        <v>41168</v>
      </c>
      <c r="AZ563" s="107"/>
      <c r="BA563" s="94">
        <v>45526.010416666664</v>
      </c>
      <c r="BB563" s="94">
        <v>45526.013888888891</v>
      </c>
      <c r="BC563" s="94">
        <v>45526.0625</v>
      </c>
      <c r="BD563" s="94">
        <v>45526.204861111109</v>
      </c>
      <c r="BE563" s="95">
        <f t="shared" si="306"/>
        <v>0.19444444444525288</v>
      </c>
      <c r="BF563" s="95">
        <v>1.0416666666666666E-2</v>
      </c>
      <c r="BG563" s="95">
        <v>3.8194444444444448E-2</v>
      </c>
      <c r="BH563" s="95">
        <f t="shared" si="307"/>
        <v>3.4722222262644209E-3</v>
      </c>
      <c r="BI563" s="95">
        <f t="shared" si="307"/>
        <v>4.8611111109494232E-2</v>
      </c>
      <c r="BJ563" s="95">
        <f t="shared" si="307"/>
        <v>0.14236111110949423</v>
      </c>
      <c r="BK563" s="95">
        <f t="shared" si="308"/>
        <v>0.19097222221898846</v>
      </c>
      <c r="BL563" s="95">
        <f t="shared" si="309"/>
        <v>0.14236111110787736</v>
      </c>
      <c r="BM563" s="95" t="str">
        <f t="shared" si="310"/>
        <v>00:00</v>
      </c>
      <c r="BN563" s="110"/>
    </row>
    <row r="564" spans="1:66" s="8" customFormat="1" ht="12.75" customHeight="1" x14ac:dyDescent="0.25">
      <c r="A564" s="115">
        <v>511</v>
      </c>
      <c r="B564" s="115">
        <v>81</v>
      </c>
      <c r="C564" s="90">
        <v>13</v>
      </c>
      <c r="D564" s="115" t="s">
        <v>113</v>
      </c>
      <c r="E564" s="210" t="s">
        <v>596</v>
      </c>
      <c r="F564" s="115" t="s">
        <v>32</v>
      </c>
      <c r="G564" s="150" t="s">
        <v>15</v>
      </c>
      <c r="H564" s="115" t="s">
        <v>146</v>
      </c>
      <c r="I564" s="150" t="s">
        <v>753</v>
      </c>
      <c r="J564" s="117">
        <v>45526</v>
      </c>
      <c r="K564" s="223" t="s">
        <v>117</v>
      </c>
      <c r="L564" s="194">
        <v>261005941</v>
      </c>
      <c r="M564" s="195">
        <v>45527</v>
      </c>
      <c r="N564" s="224">
        <v>45526.670138888891</v>
      </c>
      <c r="O564" s="213">
        <v>45526.670138888891</v>
      </c>
      <c r="P564" s="118">
        <v>45526.673611111109</v>
      </c>
      <c r="Q564" s="118">
        <v>45526.875</v>
      </c>
      <c r="R564" s="118" t="s">
        <v>118</v>
      </c>
      <c r="S564" s="118" t="s">
        <v>118</v>
      </c>
      <c r="T564" s="118">
        <v>45526.979166666664</v>
      </c>
      <c r="U564" s="118">
        <v>45527.097222222219</v>
      </c>
      <c r="V564" s="119">
        <f t="shared" si="304"/>
        <v>0.20486111110949423</v>
      </c>
      <c r="W564" s="119">
        <v>0.20833333333333334</v>
      </c>
      <c r="X564" s="119" t="str">
        <f t="shared" si="305"/>
        <v>00:00</v>
      </c>
      <c r="Y564" s="96">
        <v>0</v>
      </c>
      <c r="Z564" s="96">
        <v>31</v>
      </c>
      <c r="AA564" s="96">
        <f t="shared" si="298"/>
        <v>31</v>
      </c>
      <c r="AB564" s="97">
        <f t="shared" si="299"/>
        <v>0</v>
      </c>
      <c r="AC564" s="97">
        <f t="shared" si="300"/>
        <v>2146.88</v>
      </c>
      <c r="AD564" s="98">
        <v>2146.88</v>
      </c>
      <c r="AE564" s="98">
        <v>2156.1999999999998</v>
      </c>
      <c r="AF564" s="98">
        <v>2168.6</v>
      </c>
      <c r="AG564" s="98">
        <f t="shared" si="301"/>
        <v>21.7199999999998</v>
      </c>
      <c r="AH564" s="99">
        <v>1398.7</v>
      </c>
      <c r="AI564" s="100">
        <f t="shared" si="302"/>
        <v>3033220.82</v>
      </c>
      <c r="AJ564" s="100">
        <f t="shared" si="315"/>
        <v>0</v>
      </c>
      <c r="AK564" s="100">
        <v>0</v>
      </c>
      <c r="AL564" s="100">
        <v>0</v>
      </c>
      <c r="AM564" s="100">
        <v>0</v>
      </c>
      <c r="AN564" s="100">
        <v>0</v>
      </c>
      <c r="AO564" s="100">
        <v>0</v>
      </c>
      <c r="AP564" s="100">
        <f t="shared" si="303"/>
        <v>151662</v>
      </c>
      <c r="AQ564" s="101">
        <f t="shared" si="311"/>
        <v>3184883</v>
      </c>
      <c r="AR564" s="101">
        <v>0</v>
      </c>
      <c r="AS564" s="101">
        <v>0</v>
      </c>
      <c r="AT564" s="137" t="s">
        <v>34</v>
      </c>
      <c r="AU564" s="158">
        <v>11</v>
      </c>
      <c r="AV564" s="177">
        <f>22.27-12.27</f>
        <v>10</v>
      </c>
      <c r="AW564" s="105">
        <v>0</v>
      </c>
      <c r="AX564" s="140">
        <f>IFERROR(((AG564+AG565)/(AF564+AF565))*100, "")</f>
        <v>1.3278810408921915</v>
      </c>
      <c r="AY564" s="141">
        <f>ROUNDUP((AG564+AG565)*AH564,0)</f>
        <v>74943</v>
      </c>
      <c r="AZ564" s="107"/>
      <c r="BA564" s="118">
        <v>45526.65625</v>
      </c>
      <c r="BB564" s="118">
        <v>45526.659722222219</v>
      </c>
      <c r="BC564" s="118">
        <v>45526.659722222219</v>
      </c>
      <c r="BD564" s="118">
        <v>45526.871527777781</v>
      </c>
      <c r="BE564" s="119">
        <f t="shared" si="306"/>
        <v>0.21527777778101154</v>
      </c>
      <c r="BF564" s="119">
        <v>0</v>
      </c>
      <c r="BG564" s="119">
        <v>7.7083333333333337E-2</v>
      </c>
      <c r="BH564" s="119">
        <f t="shared" si="307"/>
        <v>3.4722222189884633E-3</v>
      </c>
      <c r="BI564" s="119">
        <f t="shared" si="307"/>
        <v>0</v>
      </c>
      <c r="BJ564" s="119">
        <f t="shared" si="307"/>
        <v>0.21180555556202307</v>
      </c>
      <c r="BK564" s="119">
        <f t="shared" si="308"/>
        <v>0.21180555556202307</v>
      </c>
      <c r="BL564" s="119">
        <f t="shared" si="309"/>
        <v>0.13472222222868974</v>
      </c>
      <c r="BM564" s="119">
        <f t="shared" si="310"/>
        <v>6.9444444476781941E-3</v>
      </c>
      <c r="BN564" s="110" t="s">
        <v>754</v>
      </c>
    </row>
    <row r="565" spans="1:66" s="8" customFormat="1" ht="12.75" customHeight="1" x14ac:dyDescent="0.25">
      <c r="A565" s="122"/>
      <c r="B565" s="122"/>
      <c r="C565" s="90">
        <v>12</v>
      </c>
      <c r="D565" s="122"/>
      <c r="E565" s="210" t="s">
        <v>711</v>
      </c>
      <c r="F565" s="122"/>
      <c r="G565" s="150" t="s">
        <v>8</v>
      </c>
      <c r="H565" s="122"/>
      <c r="I565" s="150" t="s">
        <v>755</v>
      </c>
      <c r="J565" s="124"/>
      <c r="K565" s="225"/>
      <c r="L565" s="194">
        <v>261005940</v>
      </c>
      <c r="M565" s="195">
        <v>45527</v>
      </c>
      <c r="N565" s="226"/>
      <c r="O565" s="221"/>
      <c r="P565" s="125"/>
      <c r="Q565" s="125"/>
      <c r="R565" s="125"/>
      <c r="S565" s="125"/>
      <c r="T565" s="125"/>
      <c r="U565" s="125"/>
      <c r="V565" s="126"/>
      <c r="W565" s="126"/>
      <c r="X565" s="126"/>
      <c r="Y565" s="96">
        <v>0</v>
      </c>
      <c r="Z565" s="96">
        <v>27</v>
      </c>
      <c r="AA565" s="96">
        <f t="shared" si="298"/>
        <v>27</v>
      </c>
      <c r="AB565" s="97">
        <f t="shared" si="299"/>
        <v>0</v>
      </c>
      <c r="AC565" s="97">
        <f t="shared" si="300"/>
        <v>1834.5399999999997</v>
      </c>
      <c r="AD565" s="98">
        <v>1834.54</v>
      </c>
      <c r="AE565" s="98">
        <v>1864.2</v>
      </c>
      <c r="AF565" s="98">
        <v>1866.4</v>
      </c>
      <c r="AG565" s="98">
        <f t="shared" si="301"/>
        <v>31.860000000000127</v>
      </c>
      <c r="AH565" s="99">
        <v>1398.7</v>
      </c>
      <c r="AI565" s="100">
        <f t="shared" si="302"/>
        <v>2610533.6800000002</v>
      </c>
      <c r="AJ565" s="100">
        <f t="shared" si="315"/>
        <v>0</v>
      </c>
      <c r="AK565" s="100">
        <v>0</v>
      </c>
      <c r="AL565" s="100">
        <v>24140</v>
      </c>
      <c r="AM565" s="100">
        <v>0</v>
      </c>
      <c r="AN565" s="100">
        <v>0</v>
      </c>
      <c r="AO565" s="100">
        <v>0</v>
      </c>
      <c r="AP565" s="100">
        <f t="shared" si="303"/>
        <v>131734</v>
      </c>
      <c r="AQ565" s="101">
        <f t="shared" si="311"/>
        <v>2766408</v>
      </c>
      <c r="AR565" s="101">
        <v>0</v>
      </c>
      <c r="AS565" s="101">
        <v>0</v>
      </c>
      <c r="AT565" s="138"/>
      <c r="AU565" s="159"/>
      <c r="AV565" s="180"/>
      <c r="AW565" s="105">
        <v>0</v>
      </c>
      <c r="AX565" s="144"/>
      <c r="AY565" s="145"/>
      <c r="AZ565" s="107"/>
      <c r="BA565" s="125"/>
      <c r="BB565" s="125"/>
      <c r="BC565" s="125"/>
      <c r="BD565" s="125"/>
      <c r="BE565" s="126"/>
      <c r="BF565" s="126"/>
      <c r="BG565" s="126"/>
      <c r="BH565" s="126"/>
      <c r="BI565" s="126"/>
      <c r="BJ565" s="126"/>
      <c r="BK565" s="126"/>
      <c r="BL565" s="126"/>
      <c r="BM565" s="126"/>
      <c r="BN565" s="110" t="s">
        <v>756</v>
      </c>
    </row>
    <row r="566" spans="1:66" s="8" customFormat="1" ht="12.75" customHeight="1" x14ac:dyDescent="0.25">
      <c r="A566" s="150">
        <v>512</v>
      </c>
      <c r="B566" s="150">
        <v>82</v>
      </c>
      <c r="C566" s="90">
        <v>11</v>
      </c>
      <c r="D566" s="111" t="s">
        <v>148</v>
      </c>
      <c r="E566" s="210" t="s">
        <v>732</v>
      </c>
      <c r="F566" s="150" t="s">
        <v>16</v>
      </c>
      <c r="G566" s="150" t="s">
        <v>17</v>
      </c>
      <c r="H566" s="150" t="s">
        <v>150</v>
      </c>
      <c r="I566" s="150" t="s">
        <v>757</v>
      </c>
      <c r="J566" s="151">
        <v>45522</v>
      </c>
      <c r="K566" s="135" t="s">
        <v>122</v>
      </c>
      <c r="L566" s="135">
        <v>461000440</v>
      </c>
      <c r="M566" s="151">
        <v>45527</v>
      </c>
      <c r="N566" s="220">
        <v>45526.822916666664</v>
      </c>
      <c r="O566" s="220">
        <v>45526.822916666664</v>
      </c>
      <c r="P566" s="152">
        <v>45526.826388888891</v>
      </c>
      <c r="Q566" s="152">
        <v>45526.989583333336</v>
      </c>
      <c r="R566" s="220" t="s">
        <v>118</v>
      </c>
      <c r="S566" s="152">
        <v>45527.135416666664</v>
      </c>
      <c r="T566" s="152">
        <v>45527.1875</v>
      </c>
      <c r="U566" s="152">
        <v>45527.294444444444</v>
      </c>
      <c r="V566" s="219">
        <f t="shared" ref="V566:V572" si="316">+Q566-O566</f>
        <v>0.16666666667151731</v>
      </c>
      <c r="W566" s="165">
        <v>0.20833333333333334</v>
      </c>
      <c r="X566" s="219" t="str">
        <f t="shared" ref="X566:X572" si="317">IF(VALUE(V566)&lt;=VALUE("05:00"),"00:00",VALUE(V566)-VALUE("05:00"))</f>
        <v>00:00</v>
      </c>
      <c r="Y566" s="96">
        <v>0</v>
      </c>
      <c r="Z566" s="96">
        <v>58</v>
      </c>
      <c r="AA566" s="96">
        <f t="shared" si="298"/>
        <v>58</v>
      </c>
      <c r="AB566" s="97">
        <f t="shared" si="299"/>
        <v>0</v>
      </c>
      <c r="AC566" s="97">
        <f t="shared" si="300"/>
        <v>3965.7</v>
      </c>
      <c r="AD566" s="98">
        <v>3965.7</v>
      </c>
      <c r="AE566" s="98">
        <v>4033.4</v>
      </c>
      <c r="AF566" s="98">
        <v>4038.6</v>
      </c>
      <c r="AG566" s="98">
        <f t="shared" si="301"/>
        <v>72.900000000000091</v>
      </c>
      <c r="AH566" s="99">
        <v>672.5</v>
      </c>
      <c r="AI566" s="100">
        <f t="shared" si="302"/>
        <v>2715958.5</v>
      </c>
      <c r="AJ566" s="100">
        <f>(0.2*AH566)*2</f>
        <v>269</v>
      </c>
      <c r="AK566" s="100">
        <v>0</v>
      </c>
      <c r="AL566" s="100">
        <v>0</v>
      </c>
      <c r="AM566" s="100">
        <v>0</v>
      </c>
      <c r="AN566" s="100">
        <v>0</v>
      </c>
      <c r="AO566" s="100">
        <v>0</v>
      </c>
      <c r="AP566" s="100">
        <f t="shared" si="303"/>
        <v>135812</v>
      </c>
      <c r="AQ566" s="101">
        <f t="shared" si="311"/>
        <v>2852040</v>
      </c>
      <c r="AR566" s="101">
        <v>0</v>
      </c>
      <c r="AS566" s="101">
        <v>0</v>
      </c>
      <c r="AT566" s="102" t="s">
        <v>34</v>
      </c>
      <c r="AU566" s="109" t="s">
        <v>118</v>
      </c>
      <c r="AV566" s="222">
        <v>0</v>
      </c>
      <c r="AW566" s="105">
        <v>3</v>
      </c>
      <c r="AX566" s="216">
        <f t="shared" ref="AX566:AX571" si="318">IFERROR((AG566/AF566)*100, "")</f>
        <v>1.8050809686525056</v>
      </c>
      <c r="AY566" s="217">
        <f t="shared" ref="AY566:AY571" si="319">ROUNDUP(AG566*AH566,0)</f>
        <v>49026</v>
      </c>
      <c r="AZ566" s="107"/>
      <c r="BA566" s="94">
        <v>45526.822916666664</v>
      </c>
      <c r="BB566" s="94">
        <v>45526.826388888891</v>
      </c>
      <c r="BC566" s="94">
        <v>45526.909722222219</v>
      </c>
      <c r="BD566" s="94">
        <v>45527.122916666667</v>
      </c>
      <c r="BE566" s="95">
        <f>+BD566-BA566</f>
        <v>0.30000000000291038</v>
      </c>
      <c r="BF566" s="95">
        <v>4.7222222222222221E-2</v>
      </c>
      <c r="BG566" s="95">
        <v>8.2638888888888887E-2</v>
      </c>
      <c r="BH566" s="95">
        <f t="shared" ref="BH566:BJ570" si="320">+BB566-BA566</f>
        <v>3.4722222262644209E-3</v>
      </c>
      <c r="BI566" s="95">
        <f t="shared" si="320"/>
        <v>8.3333333328482695E-2</v>
      </c>
      <c r="BJ566" s="95">
        <f t="shared" si="320"/>
        <v>0.21319444444816327</v>
      </c>
      <c r="BK566" s="95">
        <f>+BI566+BJ566</f>
        <v>0.29652777777664596</v>
      </c>
      <c r="BL566" s="95">
        <f>+BE566-BH566-BF566-BG566</f>
        <v>0.16666666666553487</v>
      </c>
      <c r="BM566" s="95">
        <f>IF(VALUE(BE566)&lt;=VALUE("05:00"),"00:00",VALUE(BE566)-VALUE("05:00"))</f>
        <v>9.166666666957704E-2</v>
      </c>
      <c r="BN566" s="110"/>
    </row>
    <row r="567" spans="1:66" s="8" customFormat="1" ht="12.75" customHeight="1" x14ac:dyDescent="0.25">
      <c r="A567" s="150">
        <v>513</v>
      </c>
      <c r="B567" s="150">
        <v>83</v>
      </c>
      <c r="C567" s="90">
        <v>12</v>
      </c>
      <c r="D567" s="111" t="s">
        <v>148</v>
      </c>
      <c r="E567" s="210" t="s">
        <v>732</v>
      </c>
      <c r="F567" s="150" t="s">
        <v>16</v>
      </c>
      <c r="G567" s="150" t="s">
        <v>17</v>
      </c>
      <c r="H567" s="150" t="s">
        <v>150</v>
      </c>
      <c r="I567" s="150" t="s">
        <v>758</v>
      </c>
      <c r="J567" s="151">
        <v>45522</v>
      </c>
      <c r="K567" s="135" t="s">
        <v>117</v>
      </c>
      <c r="L567" s="135">
        <v>461000441</v>
      </c>
      <c r="M567" s="151">
        <v>45527</v>
      </c>
      <c r="N567" s="220">
        <v>45527.159722222219</v>
      </c>
      <c r="O567" s="220">
        <v>45527.159722222219</v>
      </c>
      <c r="P567" s="152">
        <v>45527.163194444445</v>
      </c>
      <c r="Q567" s="152">
        <v>45527.368055555555</v>
      </c>
      <c r="R567" s="220" t="s">
        <v>118</v>
      </c>
      <c r="S567" s="152" t="s">
        <v>118</v>
      </c>
      <c r="T567" s="152">
        <v>45527.395833333336</v>
      </c>
      <c r="U567" s="152">
        <v>45527.517361111109</v>
      </c>
      <c r="V567" s="219">
        <f t="shared" si="316"/>
        <v>0.20833333333575865</v>
      </c>
      <c r="W567" s="203">
        <v>0.20833333333333334</v>
      </c>
      <c r="X567" s="219">
        <f t="shared" si="317"/>
        <v>2.4253099528692701E-12</v>
      </c>
      <c r="Y567" s="96">
        <v>13</v>
      </c>
      <c r="Z567" s="96">
        <v>45</v>
      </c>
      <c r="AA567" s="96">
        <f t="shared" si="298"/>
        <v>58</v>
      </c>
      <c r="AB567" s="97">
        <f t="shared" si="299"/>
        <v>868.8953448275862</v>
      </c>
      <c r="AC567" s="97">
        <f t="shared" si="300"/>
        <v>3007.7146551724136</v>
      </c>
      <c r="AD567" s="98">
        <v>3876.61</v>
      </c>
      <c r="AE567" s="98">
        <v>4039.3</v>
      </c>
      <c r="AF567" s="98">
        <v>4043.6</v>
      </c>
      <c r="AG567" s="98">
        <f t="shared" si="301"/>
        <v>166.98999999999978</v>
      </c>
      <c r="AH567" s="99">
        <v>672.5</v>
      </c>
      <c r="AI567" s="100">
        <f t="shared" si="302"/>
        <v>2719321</v>
      </c>
      <c r="AJ567" s="100">
        <f>(0*AH567)*2</f>
        <v>0</v>
      </c>
      <c r="AK567" s="100">
        <v>0</v>
      </c>
      <c r="AL567" s="100">
        <v>24140</v>
      </c>
      <c r="AM567" s="100">
        <v>0</v>
      </c>
      <c r="AN567" s="100">
        <v>0</v>
      </c>
      <c r="AO567" s="100">
        <v>0</v>
      </c>
      <c r="AP567" s="100">
        <f t="shared" si="303"/>
        <v>137174</v>
      </c>
      <c r="AQ567" s="101">
        <f t="shared" si="311"/>
        <v>2880635</v>
      </c>
      <c r="AR567" s="101">
        <v>0</v>
      </c>
      <c r="AS567" s="101">
        <v>0</v>
      </c>
      <c r="AT567" s="102" t="s">
        <v>34</v>
      </c>
      <c r="AU567" s="109">
        <v>3</v>
      </c>
      <c r="AV567" s="222">
        <f>5.67-3.67</f>
        <v>2</v>
      </c>
      <c r="AW567" s="105">
        <v>0</v>
      </c>
      <c r="AX567" s="216">
        <f t="shared" si="318"/>
        <v>4.1297358789197691</v>
      </c>
      <c r="AY567" s="217">
        <f t="shared" si="319"/>
        <v>112301</v>
      </c>
      <c r="AZ567" s="107"/>
      <c r="BA567" s="94">
        <v>45527.159722222219</v>
      </c>
      <c r="BB567" s="94">
        <v>45527.163194444445</v>
      </c>
      <c r="BC567" s="94">
        <v>45527.1875</v>
      </c>
      <c r="BD567" s="94">
        <v>45527.388888888891</v>
      </c>
      <c r="BE567" s="95">
        <f>+BD567-BA567</f>
        <v>0.22916666667151731</v>
      </c>
      <c r="BF567" s="95">
        <v>8.1944444444444445E-2</v>
      </c>
      <c r="BG567" s="95">
        <v>9.7222222222222224E-3</v>
      </c>
      <c r="BH567" s="95">
        <f t="shared" si="320"/>
        <v>3.4722222262644209E-3</v>
      </c>
      <c r="BI567" s="95">
        <f t="shared" si="320"/>
        <v>2.4305555554747116E-2</v>
      </c>
      <c r="BJ567" s="95">
        <f t="shared" si="320"/>
        <v>0.20138888889050577</v>
      </c>
      <c r="BK567" s="95">
        <f>+BI567+BJ567</f>
        <v>0.22569444444525288</v>
      </c>
      <c r="BL567" s="95">
        <f>+BE567-BH567-BF567-BG567</f>
        <v>0.13402777777858624</v>
      </c>
      <c r="BM567" s="95">
        <f>IF(VALUE(BE567)&lt;=VALUE("05:00"),"00:00",VALUE(BE567)-VALUE("05:00"))</f>
        <v>2.0833333338183962E-2</v>
      </c>
      <c r="BN567" s="110"/>
    </row>
    <row r="568" spans="1:66" s="8" customFormat="1" ht="12.75" customHeight="1" x14ac:dyDescent="0.25">
      <c r="A568" s="150">
        <v>514</v>
      </c>
      <c r="B568" s="150">
        <v>84</v>
      </c>
      <c r="C568" s="90">
        <v>1</v>
      </c>
      <c r="D568" s="111" t="s">
        <v>113</v>
      </c>
      <c r="E568" s="210" t="s">
        <v>759</v>
      </c>
      <c r="F568" s="150" t="s">
        <v>29</v>
      </c>
      <c r="G568" s="150" t="s">
        <v>8</v>
      </c>
      <c r="H568" s="150" t="s">
        <v>124</v>
      </c>
      <c r="I568" s="150" t="s">
        <v>760</v>
      </c>
      <c r="J568" s="151">
        <v>45526</v>
      </c>
      <c r="K568" s="135" t="s">
        <v>122</v>
      </c>
      <c r="L568" s="135">
        <v>461000442</v>
      </c>
      <c r="M568" s="151">
        <v>45527</v>
      </c>
      <c r="N568" s="220">
        <v>45527.385416666664</v>
      </c>
      <c r="O568" s="220">
        <v>45527.385416666664</v>
      </c>
      <c r="P568" s="152">
        <v>45527.388888888891</v>
      </c>
      <c r="Q568" s="152">
        <v>45527.677083333336</v>
      </c>
      <c r="R568" s="220" t="s">
        <v>118</v>
      </c>
      <c r="S568" s="152">
        <v>45527.760416666664</v>
      </c>
      <c r="T568" s="152">
        <v>45527.770833333336</v>
      </c>
      <c r="U568" s="152">
        <v>45527.831944444442</v>
      </c>
      <c r="V568" s="219">
        <f t="shared" si="316"/>
        <v>0.29166666667151731</v>
      </c>
      <c r="W568" s="203">
        <v>0.20833333333333334</v>
      </c>
      <c r="X568" s="219">
        <f t="shared" si="317"/>
        <v>8.3333333338183962E-2</v>
      </c>
      <c r="Y568" s="96">
        <v>0</v>
      </c>
      <c r="Z568" s="96">
        <v>58</v>
      </c>
      <c r="AA568" s="96">
        <f t="shared" si="298"/>
        <v>58</v>
      </c>
      <c r="AB568" s="97">
        <f t="shared" si="299"/>
        <v>0</v>
      </c>
      <c r="AC568" s="97">
        <f t="shared" si="300"/>
        <v>3946.9899999999993</v>
      </c>
      <c r="AD568" s="98">
        <v>3946.99</v>
      </c>
      <c r="AE568" s="98">
        <v>4024.2</v>
      </c>
      <c r="AF568" s="98">
        <v>4030.2</v>
      </c>
      <c r="AG568" s="98">
        <f t="shared" si="301"/>
        <v>83.210000000000036</v>
      </c>
      <c r="AH568" s="99">
        <v>797.2</v>
      </c>
      <c r="AI568" s="100">
        <f t="shared" si="302"/>
        <v>3212875.44</v>
      </c>
      <c r="AJ568" s="100">
        <f>(0.2*AH568)*2</f>
        <v>318.88000000000005</v>
      </c>
      <c r="AK568" s="100">
        <v>0</v>
      </c>
      <c r="AL568" s="100">
        <v>0</v>
      </c>
      <c r="AM568" s="100">
        <v>0</v>
      </c>
      <c r="AN568" s="100">
        <v>0</v>
      </c>
      <c r="AO568" s="100">
        <v>0</v>
      </c>
      <c r="AP568" s="100">
        <f t="shared" si="303"/>
        <v>160660</v>
      </c>
      <c r="AQ568" s="101">
        <f t="shared" si="311"/>
        <v>3373855</v>
      </c>
      <c r="AR568" s="101">
        <v>0</v>
      </c>
      <c r="AS568" s="101">
        <v>0</v>
      </c>
      <c r="AT568" s="102" t="s">
        <v>34</v>
      </c>
      <c r="AU568" s="109" t="s">
        <v>118</v>
      </c>
      <c r="AV568" s="222">
        <v>0</v>
      </c>
      <c r="AW568" s="105">
        <v>2</v>
      </c>
      <c r="AX568" s="216">
        <f t="shared" si="318"/>
        <v>2.0646618033844484</v>
      </c>
      <c r="AY568" s="217">
        <f t="shared" si="319"/>
        <v>66336</v>
      </c>
      <c r="AZ568" s="107"/>
      <c r="BA568" s="94">
        <v>45527.385416666664</v>
      </c>
      <c r="BB568" s="94">
        <v>45527.388888888891</v>
      </c>
      <c r="BC568" s="94">
        <v>45527.609722222223</v>
      </c>
      <c r="BD568" s="94">
        <v>45527.754166666666</v>
      </c>
      <c r="BE568" s="95">
        <f>+BD568-BA568</f>
        <v>0.36875000000145519</v>
      </c>
      <c r="BF568" s="95">
        <v>0.21388888888888888</v>
      </c>
      <c r="BG568" s="95">
        <v>6.9444444444444441E-3</v>
      </c>
      <c r="BH568" s="95">
        <f t="shared" si="320"/>
        <v>3.4722222262644209E-3</v>
      </c>
      <c r="BI568" s="95">
        <f t="shared" si="320"/>
        <v>0.22083333333284827</v>
      </c>
      <c r="BJ568" s="95">
        <f t="shared" si="320"/>
        <v>0.1444444444423425</v>
      </c>
      <c r="BK568" s="95">
        <f>+BI568+BJ568</f>
        <v>0.36527777777519077</v>
      </c>
      <c r="BL568" s="95">
        <f>+BE568-BH568-BF568-BG568</f>
        <v>0.14444444444185744</v>
      </c>
      <c r="BM568" s="95">
        <f>IF(VALUE(BE568)&lt;=VALUE("05:00"),"00:00",VALUE(BE568)-VALUE("05:00"))</f>
        <v>0.16041666666812185</v>
      </c>
      <c r="BN568" s="110"/>
    </row>
    <row r="569" spans="1:66" s="8" customFormat="1" ht="12.75" customHeight="1" x14ac:dyDescent="0.25">
      <c r="A569" s="150">
        <v>515</v>
      </c>
      <c r="B569" s="150">
        <v>85</v>
      </c>
      <c r="C569" s="90">
        <v>13</v>
      </c>
      <c r="D569" s="111" t="s">
        <v>113</v>
      </c>
      <c r="E569" s="210" t="s">
        <v>711</v>
      </c>
      <c r="F569" s="150" t="s">
        <v>32</v>
      </c>
      <c r="G569" s="150" t="s">
        <v>8</v>
      </c>
      <c r="H569" s="150" t="s">
        <v>182</v>
      </c>
      <c r="I569" s="150" t="s">
        <v>761</v>
      </c>
      <c r="J569" s="151">
        <v>45527</v>
      </c>
      <c r="K569" s="135" t="s">
        <v>117</v>
      </c>
      <c r="L569" s="135">
        <v>261005942</v>
      </c>
      <c r="M569" s="151">
        <v>45528</v>
      </c>
      <c r="N569" s="220">
        <v>45527.666666666664</v>
      </c>
      <c r="O569" s="220">
        <v>45527.666666666664</v>
      </c>
      <c r="P569" s="152">
        <v>45527.670138888891</v>
      </c>
      <c r="Q569" s="152">
        <v>45527.875</v>
      </c>
      <c r="R569" s="220" t="s">
        <v>118</v>
      </c>
      <c r="S569" s="152">
        <v>45527.90625</v>
      </c>
      <c r="T569" s="152">
        <v>45527.9375</v>
      </c>
      <c r="U569" s="152">
        <v>45528.027777777781</v>
      </c>
      <c r="V569" s="219">
        <f t="shared" si="316"/>
        <v>0.20833333333575865</v>
      </c>
      <c r="W569" s="203">
        <v>0.20833333333333334</v>
      </c>
      <c r="X569" s="219">
        <f t="shared" si="317"/>
        <v>2.4253099528692701E-12</v>
      </c>
      <c r="Y569" s="96">
        <v>0</v>
      </c>
      <c r="Z569" s="96">
        <v>59</v>
      </c>
      <c r="AA569" s="96">
        <f t="shared" si="298"/>
        <v>59</v>
      </c>
      <c r="AB569" s="97">
        <f t="shared" si="299"/>
        <v>0</v>
      </c>
      <c r="AC569" s="97">
        <f t="shared" si="300"/>
        <v>4078.3200000000006</v>
      </c>
      <c r="AD569" s="98">
        <v>4078.32</v>
      </c>
      <c r="AE569" s="98">
        <v>4095</v>
      </c>
      <c r="AF569" s="98">
        <v>4115.3999999999996</v>
      </c>
      <c r="AG569" s="98">
        <f t="shared" si="301"/>
        <v>37.079999999999472</v>
      </c>
      <c r="AH569" s="99">
        <v>1484</v>
      </c>
      <c r="AI569" s="100">
        <f t="shared" si="302"/>
        <v>6107253.5999999996</v>
      </c>
      <c r="AJ569" s="100">
        <f t="shared" ref="AJ569:AJ582" si="321">(0*AH569)*2</f>
        <v>0</v>
      </c>
      <c r="AK569" s="100">
        <v>0</v>
      </c>
      <c r="AL569" s="100">
        <v>24290</v>
      </c>
      <c r="AM569" s="100">
        <v>0</v>
      </c>
      <c r="AN569" s="100">
        <v>0</v>
      </c>
      <c r="AO569" s="100">
        <v>0</v>
      </c>
      <c r="AP569" s="100">
        <f t="shared" si="303"/>
        <v>306578</v>
      </c>
      <c r="AQ569" s="101">
        <f t="shared" si="311"/>
        <v>6438122</v>
      </c>
      <c r="AR569" s="101">
        <v>0</v>
      </c>
      <c r="AS569" s="101">
        <v>0</v>
      </c>
      <c r="AT569" s="102" t="s">
        <v>33</v>
      </c>
      <c r="AU569" s="109">
        <v>9</v>
      </c>
      <c r="AV569" s="222">
        <f>24.74-17.74</f>
        <v>7</v>
      </c>
      <c r="AW569" s="105">
        <v>1</v>
      </c>
      <c r="AX569" s="216">
        <f t="shared" si="318"/>
        <v>0.90100597754773482</v>
      </c>
      <c r="AY569" s="217">
        <f t="shared" si="319"/>
        <v>55027</v>
      </c>
      <c r="AZ569" s="107"/>
      <c r="BA569" s="94">
        <v>45527.666666666664</v>
      </c>
      <c r="BB569" s="94">
        <v>45527.670138888891</v>
      </c>
      <c r="BC569" s="94">
        <v>45527.793055555558</v>
      </c>
      <c r="BD569" s="94">
        <v>45527.92291666667</v>
      </c>
      <c r="BE569" s="95">
        <f>+BD569-BA569</f>
        <v>0.25625000000582077</v>
      </c>
      <c r="BF569" s="95">
        <v>6.9444444444444441E-3</v>
      </c>
      <c r="BG569" s="95">
        <v>0.11597222222222223</v>
      </c>
      <c r="BH569" s="95">
        <f t="shared" si="320"/>
        <v>3.4722222262644209E-3</v>
      </c>
      <c r="BI569" s="95">
        <f t="shared" si="320"/>
        <v>0.12291666666715173</v>
      </c>
      <c r="BJ569" s="95">
        <f t="shared" si="320"/>
        <v>0.12986111111240461</v>
      </c>
      <c r="BK569" s="95">
        <f>+BI569+BJ569</f>
        <v>0.25277777777955635</v>
      </c>
      <c r="BL569" s="95">
        <f>+BE569-BH569-BF569-BG569</f>
        <v>0.12986111111288967</v>
      </c>
      <c r="BM569" s="95">
        <f>IF(VALUE(BE569)&lt;=VALUE("05:00"),"00:00",VALUE(BE569)-VALUE("05:00"))</f>
        <v>4.7916666672487424E-2</v>
      </c>
      <c r="BN569" s="110"/>
    </row>
    <row r="570" spans="1:66" s="8" customFormat="1" ht="12.75" customHeight="1" x14ac:dyDescent="0.25">
      <c r="A570" s="150">
        <v>516</v>
      </c>
      <c r="B570" s="150">
        <v>86</v>
      </c>
      <c r="C570" s="90">
        <v>13</v>
      </c>
      <c r="D570" s="111" t="s">
        <v>148</v>
      </c>
      <c r="E570" s="210" t="s">
        <v>732</v>
      </c>
      <c r="F570" s="150" t="s">
        <v>16</v>
      </c>
      <c r="G570" s="150" t="s">
        <v>17</v>
      </c>
      <c r="H570" s="150" t="s">
        <v>150</v>
      </c>
      <c r="I570" s="150" t="s">
        <v>762</v>
      </c>
      <c r="J570" s="151">
        <v>45525</v>
      </c>
      <c r="K570" s="135" t="s">
        <v>122</v>
      </c>
      <c r="L570" s="135">
        <v>461000443</v>
      </c>
      <c r="M570" s="151">
        <v>45528</v>
      </c>
      <c r="N570" s="220">
        <v>45527.895833333336</v>
      </c>
      <c r="O570" s="220">
        <v>45527.895833333336</v>
      </c>
      <c r="P570" s="152">
        <v>45527.899305555555</v>
      </c>
      <c r="Q570" s="152">
        <v>45528.104166666664</v>
      </c>
      <c r="R570" s="220" t="s">
        <v>118</v>
      </c>
      <c r="S570" s="152">
        <v>45528.1875</v>
      </c>
      <c r="T570" s="152">
        <v>45528.25</v>
      </c>
      <c r="U570" s="152">
        <v>45528.378472222219</v>
      </c>
      <c r="V570" s="219">
        <f t="shared" si="316"/>
        <v>0.20833333332848269</v>
      </c>
      <c r="W570" s="203">
        <v>0.20833333333333334</v>
      </c>
      <c r="X570" s="219" t="str">
        <f t="shared" si="317"/>
        <v>00:00</v>
      </c>
      <c r="Y570" s="96">
        <v>0</v>
      </c>
      <c r="Z570" s="96">
        <v>58</v>
      </c>
      <c r="AA570" s="96">
        <f t="shared" si="298"/>
        <v>58</v>
      </c>
      <c r="AB570" s="97">
        <f t="shared" si="299"/>
        <v>0</v>
      </c>
      <c r="AC570" s="97">
        <f t="shared" si="300"/>
        <v>4052.8100000000004</v>
      </c>
      <c r="AD570" s="98">
        <v>4052.81</v>
      </c>
      <c r="AE570" s="98">
        <v>4046.3</v>
      </c>
      <c r="AF570" s="98">
        <v>4078</v>
      </c>
      <c r="AG570" s="98">
        <f t="shared" si="301"/>
        <v>25.190000000000055</v>
      </c>
      <c r="AH570" s="99">
        <v>672.5</v>
      </c>
      <c r="AI570" s="100">
        <f t="shared" si="302"/>
        <v>2742455</v>
      </c>
      <c r="AJ570" s="100">
        <f t="shared" si="321"/>
        <v>0</v>
      </c>
      <c r="AK570" s="100">
        <v>0</v>
      </c>
      <c r="AL570" s="100">
        <v>24140</v>
      </c>
      <c r="AM570" s="100">
        <v>0</v>
      </c>
      <c r="AN570" s="100">
        <v>0</v>
      </c>
      <c r="AO570" s="100">
        <v>0</v>
      </c>
      <c r="AP570" s="100">
        <f t="shared" si="303"/>
        <v>138330</v>
      </c>
      <c r="AQ570" s="101">
        <f t="shared" si="311"/>
        <v>2904925</v>
      </c>
      <c r="AR570" s="101">
        <v>0</v>
      </c>
      <c r="AS570" s="101">
        <v>0</v>
      </c>
      <c r="AT570" s="102" t="s">
        <v>34</v>
      </c>
      <c r="AU570" s="109">
        <v>23</v>
      </c>
      <c r="AV570" s="222">
        <f>53.43-26.43</f>
        <v>27</v>
      </c>
      <c r="AW570" s="105">
        <v>2</v>
      </c>
      <c r="AX570" s="216">
        <f t="shared" si="318"/>
        <v>0.61770475723393947</v>
      </c>
      <c r="AY570" s="217">
        <f t="shared" si="319"/>
        <v>16941</v>
      </c>
      <c r="AZ570" s="107"/>
      <c r="BA570" s="94">
        <v>45527.895833333336</v>
      </c>
      <c r="BB570" s="94">
        <v>45527.899305555555</v>
      </c>
      <c r="BC570" s="94">
        <v>45527.961805555555</v>
      </c>
      <c r="BD570" s="94">
        <v>45528.183333333334</v>
      </c>
      <c r="BE570" s="95">
        <f>+BD570-BA570</f>
        <v>0.28749999999854481</v>
      </c>
      <c r="BF570" s="95">
        <v>4.3749999999999997E-2</v>
      </c>
      <c r="BG570" s="95">
        <v>4.5138888888888888E-2</v>
      </c>
      <c r="BH570" s="95">
        <f t="shared" si="320"/>
        <v>3.4722222189884633E-3</v>
      </c>
      <c r="BI570" s="95">
        <f t="shared" si="320"/>
        <v>6.25E-2</v>
      </c>
      <c r="BJ570" s="95">
        <f t="shared" si="320"/>
        <v>0.22152777777955635</v>
      </c>
      <c r="BK570" s="95">
        <f>+BI570+BJ570</f>
        <v>0.28402777777955635</v>
      </c>
      <c r="BL570" s="95">
        <f>+BE570-BH570-BF570-BG570</f>
        <v>0.19513888889066744</v>
      </c>
      <c r="BM570" s="95">
        <f>IF(VALUE(BE570)&lt;=VALUE("05:00"),"00:00",VALUE(BE570)-VALUE("05:00"))</f>
        <v>7.9166666665211466E-2</v>
      </c>
      <c r="BN570" s="110"/>
    </row>
    <row r="571" spans="1:66" s="8" customFormat="1" ht="12.75" customHeight="1" x14ac:dyDescent="0.25">
      <c r="A571" s="153">
        <v>517</v>
      </c>
      <c r="B571" s="150">
        <v>87</v>
      </c>
      <c r="C571" s="90">
        <v>14</v>
      </c>
      <c r="D571" s="111" t="s">
        <v>148</v>
      </c>
      <c r="E571" s="210" t="s">
        <v>732</v>
      </c>
      <c r="F571" s="150" t="s">
        <v>16</v>
      </c>
      <c r="G571" s="150" t="s">
        <v>17</v>
      </c>
      <c r="H571" s="150" t="s">
        <v>150</v>
      </c>
      <c r="I571" s="150" t="s">
        <v>763</v>
      </c>
      <c r="J571" s="151">
        <v>45525</v>
      </c>
      <c r="K571" s="135" t="s">
        <v>117</v>
      </c>
      <c r="L571" s="135">
        <v>461000444</v>
      </c>
      <c r="M571" s="151">
        <v>45528</v>
      </c>
      <c r="N571" s="220">
        <v>45528.166666666664</v>
      </c>
      <c r="O571" s="220">
        <v>45528.166666666664</v>
      </c>
      <c r="P571" s="152">
        <v>45528.170138888891</v>
      </c>
      <c r="Q571" s="152">
        <v>45528.375</v>
      </c>
      <c r="R571" s="220" t="s">
        <v>118</v>
      </c>
      <c r="S571" s="152">
        <v>45528.5</v>
      </c>
      <c r="T571" s="152">
        <v>45528.583333333336</v>
      </c>
      <c r="U571" s="152">
        <v>45528.690972222219</v>
      </c>
      <c r="V571" s="219">
        <f t="shared" si="316"/>
        <v>0.20833333333575865</v>
      </c>
      <c r="W571" s="203">
        <v>0.20833333333333334</v>
      </c>
      <c r="X571" s="219">
        <f t="shared" si="317"/>
        <v>2.4253099528692701E-12</v>
      </c>
      <c r="Y571" s="96">
        <v>58</v>
      </c>
      <c r="Z571" s="96">
        <v>0</v>
      </c>
      <c r="AA571" s="96">
        <f t="shared" si="298"/>
        <v>58</v>
      </c>
      <c r="AB571" s="97">
        <f t="shared" si="299"/>
        <v>4015.01</v>
      </c>
      <c r="AC571" s="97">
        <f t="shared" si="300"/>
        <v>0</v>
      </c>
      <c r="AD571" s="98">
        <v>4015.01</v>
      </c>
      <c r="AE571" s="98">
        <v>4053.4</v>
      </c>
      <c r="AF571" s="98">
        <v>4071.2</v>
      </c>
      <c r="AG571" s="98">
        <f t="shared" si="301"/>
        <v>56.1899999999996</v>
      </c>
      <c r="AH571" s="99">
        <v>672.5</v>
      </c>
      <c r="AI571" s="100">
        <f t="shared" si="302"/>
        <v>2737882</v>
      </c>
      <c r="AJ571" s="100">
        <f t="shared" si="321"/>
        <v>0</v>
      </c>
      <c r="AK571" s="100">
        <v>0</v>
      </c>
      <c r="AL571" s="100">
        <v>24140</v>
      </c>
      <c r="AM571" s="100">
        <v>0</v>
      </c>
      <c r="AN571" s="100">
        <v>0</v>
      </c>
      <c r="AO571" s="100">
        <v>0</v>
      </c>
      <c r="AP571" s="100">
        <f t="shared" si="303"/>
        <v>138102</v>
      </c>
      <c r="AQ571" s="101">
        <f t="shared" si="311"/>
        <v>2900124</v>
      </c>
      <c r="AR571" s="101">
        <v>0</v>
      </c>
      <c r="AS571" s="101">
        <v>0</v>
      </c>
      <c r="AT571" s="102" t="s">
        <v>34</v>
      </c>
      <c r="AU571" s="109">
        <v>10</v>
      </c>
      <c r="AV571" s="222">
        <f>29.6-15.6</f>
        <v>14.000000000000002</v>
      </c>
      <c r="AW571" s="105">
        <v>3</v>
      </c>
      <c r="AX571" s="216">
        <f t="shared" si="318"/>
        <v>1.380182747101582</v>
      </c>
      <c r="AY571" s="217">
        <f t="shared" si="319"/>
        <v>37788</v>
      </c>
      <c r="AZ571" s="107"/>
      <c r="BA571" s="94"/>
      <c r="BB571" s="94"/>
      <c r="BC571" s="94"/>
      <c r="BD571" s="94"/>
      <c r="BE571" s="95"/>
      <c r="BF571" s="95"/>
      <c r="BG571" s="95"/>
      <c r="BH571" s="95"/>
      <c r="BI571" s="95"/>
      <c r="BJ571" s="95"/>
      <c r="BK571" s="95"/>
      <c r="BL571" s="95"/>
      <c r="BM571" s="95"/>
      <c r="BN571" s="110"/>
    </row>
    <row r="572" spans="1:66" s="8" customFormat="1" ht="12.75" customHeight="1" x14ac:dyDescent="0.25">
      <c r="A572" s="154">
        <v>518</v>
      </c>
      <c r="B572" s="154">
        <v>88</v>
      </c>
      <c r="C572" s="90">
        <v>15</v>
      </c>
      <c r="D572" s="154" t="s">
        <v>148</v>
      </c>
      <c r="E572" s="210" t="s">
        <v>732</v>
      </c>
      <c r="F572" s="154" t="s">
        <v>16</v>
      </c>
      <c r="G572" s="154" t="s">
        <v>17</v>
      </c>
      <c r="H572" s="154" t="s">
        <v>150</v>
      </c>
      <c r="I572" s="154" t="s">
        <v>764</v>
      </c>
      <c r="J572" s="117">
        <v>45525</v>
      </c>
      <c r="K572" s="182" t="s">
        <v>122</v>
      </c>
      <c r="L572" s="182">
        <v>461000445</v>
      </c>
      <c r="M572" s="183">
        <v>45529</v>
      </c>
      <c r="N572" s="227">
        <v>45528.6875</v>
      </c>
      <c r="O572" s="227">
        <v>45528.6875</v>
      </c>
      <c r="P572" s="184">
        <v>45528.690972222219</v>
      </c>
      <c r="Q572" s="184">
        <v>45528.833333333336</v>
      </c>
      <c r="R572" s="227" t="s">
        <v>118</v>
      </c>
      <c r="S572" s="184" t="s">
        <v>118</v>
      </c>
      <c r="T572" s="184">
        <v>45528.916666666664</v>
      </c>
      <c r="U572" s="184">
        <v>45529.052083333336</v>
      </c>
      <c r="V572" s="185">
        <f t="shared" si="316"/>
        <v>0.14583333333575865</v>
      </c>
      <c r="W572" s="185">
        <v>0.20833333333333334</v>
      </c>
      <c r="X572" s="185" t="str">
        <f t="shared" si="317"/>
        <v>00:00</v>
      </c>
      <c r="Y572" s="96">
        <v>5</v>
      </c>
      <c r="Z572" s="96">
        <v>0</v>
      </c>
      <c r="AA572" s="96">
        <f t="shared" si="298"/>
        <v>5</v>
      </c>
      <c r="AB572" s="97">
        <f t="shared" si="299"/>
        <v>355.86000000000013</v>
      </c>
      <c r="AC572" s="97">
        <f t="shared" si="300"/>
        <v>0</v>
      </c>
      <c r="AD572" s="98">
        <f>4049.33-3693.47</f>
        <v>355.86000000000013</v>
      </c>
      <c r="AE572" s="98">
        <f>4093-3693.47</f>
        <v>399.5300000000002</v>
      </c>
      <c r="AF572" s="98">
        <f>4104.4-3748.54</f>
        <v>355.85999999999967</v>
      </c>
      <c r="AG572" s="98">
        <f t="shared" si="301"/>
        <v>-4.5474735088646412E-13</v>
      </c>
      <c r="AH572" s="99">
        <v>672.5</v>
      </c>
      <c r="AI572" s="100">
        <f t="shared" si="302"/>
        <v>239315.84999999977</v>
      </c>
      <c r="AJ572" s="100">
        <f t="shared" si="321"/>
        <v>0</v>
      </c>
      <c r="AK572" s="100">
        <v>0</v>
      </c>
      <c r="AL572" s="100">
        <v>24290</v>
      </c>
      <c r="AM572" s="100">
        <v>0</v>
      </c>
      <c r="AN572" s="100">
        <v>0</v>
      </c>
      <c r="AO572" s="100">
        <v>0</v>
      </c>
      <c r="AP572" s="100">
        <f>ROUNDUP(SUM(AI572:AO572)*5%,0)-1</f>
        <v>13180</v>
      </c>
      <c r="AQ572" s="101">
        <f>ROUNDUP(SUM(AI572:AP572),0)-1</f>
        <v>276785</v>
      </c>
      <c r="AR572" s="101">
        <v>0</v>
      </c>
      <c r="AS572" s="101">
        <v>0</v>
      </c>
      <c r="AT572" s="137" t="s">
        <v>33</v>
      </c>
      <c r="AU572" s="158">
        <v>8</v>
      </c>
      <c r="AV572" s="177">
        <f>21.42-9.92</f>
        <v>11.500000000000002</v>
      </c>
      <c r="AW572" s="105">
        <v>0</v>
      </c>
      <c r="AX572" s="140">
        <f>IFERROR(((AG572+AG573)/(AF572+AF573))*100, "")</f>
        <v>1.3417308254556015</v>
      </c>
      <c r="AY572" s="141">
        <f>ROUNDUP((AG572+AG573)*AH572,0)</f>
        <v>37035</v>
      </c>
      <c r="AZ572" s="107"/>
      <c r="BA572" s="94"/>
      <c r="BB572" s="94"/>
      <c r="BC572" s="94"/>
      <c r="BD572" s="94"/>
      <c r="BE572" s="95"/>
      <c r="BF572" s="95"/>
      <c r="BG572" s="95"/>
      <c r="BH572" s="95"/>
      <c r="BI572" s="95"/>
      <c r="BJ572" s="95"/>
      <c r="BK572" s="95"/>
      <c r="BL572" s="95"/>
      <c r="BM572" s="95"/>
      <c r="BN572" s="110" t="s">
        <v>765</v>
      </c>
    </row>
    <row r="573" spans="1:66" s="8" customFormat="1" ht="12.75" customHeight="1" x14ac:dyDescent="0.25">
      <c r="A573" s="155"/>
      <c r="B573" s="155"/>
      <c r="C573" s="90">
        <v>1</v>
      </c>
      <c r="D573" s="155"/>
      <c r="E573" s="210" t="s">
        <v>766</v>
      </c>
      <c r="F573" s="155"/>
      <c r="G573" s="155"/>
      <c r="H573" s="155"/>
      <c r="I573" s="155"/>
      <c r="J573" s="124"/>
      <c r="K573" s="186"/>
      <c r="L573" s="186"/>
      <c r="M573" s="187"/>
      <c r="N573" s="228"/>
      <c r="O573" s="228"/>
      <c r="P573" s="188"/>
      <c r="Q573" s="188"/>
      <c r="R573" s="228"/>
      <c r="S573" s="188"/>
      <c r="T573" s="188"/>
      <c r="U573" s="188"/>
      <c r="V573" s="189"/>
      <c r="W573" s="189"/>
      <c r="X573" s="189"/>
      <c r="Y573" s="96">
        <v>54</v>
      </c>
      <c r="Z573" s="96">
        <v>0</v>
      </c>
      <c r="AA573" s="96">
        <f t="shared" si="298"/>
        <v>54</v>
      </c>
      <c r="AB573" s="97">
        <f t="shared" si="299"/>
        <v>3693.47</v>
      </c>
      <c r="AC573" s="97">
        <f t="shared" si="300"/>
        <v>0</v>
      </c>
      <c r="AD573" s="98">
        <v>3693.47</v>
      </c>
      <c r="AE573" s="98">
        <v>3693.47</v>
      </c>
      <c r="AF573" s="98">
        <v>3748.54</v>
      </c>
      <c r="AG573" s="98">
        <f t="shared" si="301"/>
        <v>55.070000000000164</v>
      </c>
      <c r="AH573" s="99">
        <v>672.5</v>
      </c>
      <c r="AI573" s="100">
        <f t="shared" si="302"/>
        <v>2520893.15</v>
      </c>
      <c r="AJ573" s="100">
        <f t="shared" si="321"/>
        <v>0</v>
      </c>
      <c r="AK573" s="100">
        <v>0</v>
      </c>
      <c r="AL573" s="100">
        <v>0</v>
      </c>
      <c r="AM573" s="100">
        <v>0</v>
      </c>
      <c r="AN573" s="100">
        <v>0</v>
      </c>
      <c r="AO573" s="100">
        <v>0</v>
      </c>
      <c r="AP573" s="100">
        <f t="shared" ref="AP573:AP602" si="322">ROUNDUP(SUM(AI573:AO573)*5%,0)</f>
        <v>126045</v>
      </c>
      <c r="AQ573" s="101">
        <f t="shared" ref="AQ573:AQ598" si="323">ROUNDUP(SUM(AI573:AP573),0)</f>
        <v>2646939</v>
      </c>
      <c r="AR573" s="101">
        <v>0</v>
      </c>
      <c r="AS573" s="101">
        <v>0</v>
      </c>
      <c r="AT573" s="138"/>
      <c r="AU573" s="159"/>
      <c r="AV573" s="180"/>
      <c r="AW573" s="105">
        <v>0</v>
      </c>
      <c r="AX573" s="144"/>
      <c r="AY573" s="145"/>
      <c r="AZ573" s="107"/>
      <c r="BA573" s="94"/>
      <c r="BB573" s="94"/>
      <c r="BC573" s="94"/>
      <c r="BD573" s="94"/>
      <c r="BE573" s="95"/>
      <c r="BF573" s="95"/>
      <c r="BG573" s="95"/>
      <c r="BH573" s="95"/>
      <c r="BI573" s="95"/>
      <c r="BJ573" s="95"/>
      <c r="BK573" s="95"/>
      <c r="BL573" s="95"/>
      <c r="BM573" s="95"/>
      <c r="BN573" s="110" t="s">
        <v>767</v>
      </c>
    </row>
    <row r="574" spans="1:66" s="8" customFormat="1" ht="12.75" customHeight="1" x14ac:dyDescent="0.25">
      <c r="A574" s="150">
        <v>519</v>
      </c>
      <c r="B574" s="150">
        <v>89</v>
      </c>
      <c r="C574" s="90">
        <v>14</v>
      </c>
      <c r="D574" s="111" t="s">
        <v>113</v>
      </c>
      <c r="E574" s="210" t="s">
        <v>711</v>
      </c>
      <c r="F574" s="150" t="s">
        <v>32</v>
      </c>
      <c r="G574" s="150" t="s">
        <v>8</v>
      </c>
      <c r="H574" s="150" t="s">
        <v>135</v>
      </c>
      <c r="I574" s="150" t="s">
        <v>768</v>
      </c>
      <c r="J574" s="151">
        <v>45528</v>
      </c>
      <c r="K574" s="135" t="s">
        <v>117</v>
      </c>
      <c r="L574" s="135">
        <v>261005946</v>
      </c>
      <c r="M574" s="151">
        <v>45529</v>
      </c>
      <c r="N574" s="220">
        <v>45529.03125</v>
      </c>
      <c r="O574" s="220">
        <v>45529.03125</v>
      </c>
      <c r="P574" s="152">
        <v>45529.034722222219</v>
      </c>
      <c r="Q574" s="152">
        <v>45529.229166666664</v>
      </c>
      <c r="R574" s="220" t="s">
        <v>118</v>
      </c>
      <c r="S574" s="152" t="s">
        <v>118</v>
      </c>
      <c r="T574" s="152">
        <v>45529.34375</v>
      </c>
      <c r="U574" s="152">
        <v>45529.472222222219</v>
      </c>
      <c r="V574" s="219">
        <f t="shared" ref="V574:V599" si="324">+Q574-O574</f>
        <v>0.19791666666424135</v>
      </c>
      <c r="W574" s="203">
        <v>0.20833333333333334</v>
      </c>
      <c r="X574" s="219" t="str">
        <f t="shared" ref="X574:X599" si="325">IF(VALUE(V574)&lt;=VALUE("05:00"),"00:00",VALUE(V574)-VALUE("05:00"))</f>
        <v>00:00</v>
      </c>
      <c r="Y574" s="96">
        <v>0</v>
      </c>
      <c r="Z574" s="96">
        <v>59</v>
      </c>
      <c r="AA574" s="96">
        <f t="shared" si="298"/>
        <v>59</v>
      </c>
      <c r="AB574" s="97">
        <f t="shared" si="299"/>
        <v>0</v>
      </c>
      <c r="AC574" s="97">
        <f t="shared" si="300"/>
        <v>4054.9199999999996</v>
      </c>
      <c r="AD574" s="98">
        <v>4054.92</v>
      </c>
      <c r="AE574" s="98">
        <v>4102.1000000000004</v>
      </c>
      <c r="AF574" s="98">
        <v>4117</v>
      </c>
      <c r="AG574" s="98">
        <f t="shared" si="301"/>
        <v>62.079999999999927</v>
      </c>
      <c r="AH574" s="99">
        <v>797.2</v>
      </c>
      <c r="AI574" s="100">
        <f t="shared" si="302"/>
        <v>3282072.4000000004</v>
      </c>
      <c r="AJ574" s="100">
        <f t="shared" si="321"/>
        <v>0</v>
      </c>
      <c r="AK574" s="100">
        <v>0</v>
      </c>
      <c r="AL574" s="100">
        <v>24290</v>
      </c>
      <c r="AM574" s="100">
        <v>0</v>
      </c>
      <c r="AN574" s="100">
        <v>0</v>
      </c>
      <c r="AO574" s="100">
        <v>0</v>
      </c>
      <c r="AP574" s="100">
        <f t="shared" si="322"/>
        <v>165319</v>
      </c>
      <c r="AQ574" s="101">
        <f t="shared" si="323"/>
        <v>3471682</v>
      </c>
      <c r="AR574" s="101">
        <v>0</v>
      </c>
      <c r="AS574" s="101">
        <v>0</v>
      </c>
      <c r="AT574" s="102" t="s">
        <v>33</v>
      </c>
      <c r="AU574" s="109">
        <v>8</v>
      </c>
      <c r="AV574" s="222">
        <f>21.4-13.4</f>
        <v>7.9999999999999982</v>
      </c>
      <c r="AW574" s="105">
        <v>0</v>
      </c>
      <c r="AX574" s="216">
        <f t="shared" ref="AX574:AX598" si="326">IFERROR((AG574/AF574)*100, "")</f>
        <v>1.5078940976439137</v>
      </c>
      <c r="AY574" s="217">
        <f t="shared" ref="AY574:AY598" si="327">ROUNDUP(AG574*AH574,0)</f>
        <v>49491</v>
      </c>
      <c r="AZ574" s="107"/>
      <c r="BA574" s="94">
        <v>45529.03125</v>
      </c>
      <c r="BB574" s="94">
        <v>45529.034722222219</v>
      </c>
      <c r="BC574" s="94">
        <v>45529.034722222219</v>
      </c>
      <c r="BD574" s="94">
        <v>45529.162499999999</v>
      </c>
      <c r="BE574" s="95">
        <f>+BD574-BA574</f>
        <v>0.13124999999854481</v>
      </c>
      <c r="BF574" s="95">
        <v>0</v>
      </c>
      <c r="BG574" s="95">
        <v>0</v>
      </c>
      <c r="BH574" s="95">
        <f>+BB574-BA574</f>
        <v>3.4722222189884633E-3</v>
      </c>
      <c r="BI574" s="95">
        <f>+BC574-BB574</f>
        <v>0</v>
      </c>
      <c r="BJ574" s="95">
        <f>+BD574-BC574</f>
        <v>0.12777777777955635</v>
      </c>
      <c r="BK574" s="95">
        <f>+BI574+BJ574</f>
        <v>0.12777777777955635</v>
      </c>
      <c r="BL574" s="95">
        <f>+BE574-BH574-BF574-BG574</f>
        <v>0.12777777777955635</v>
      </c>
      <c r="BM574" s="95" t="str">
        <f>IF(VALUE(BE574)&lt;=VALUE("05:00"),"00:00",VALUE(BE574)-VALUE("05:00"))</f>
        <v>00:00</v>
      </c>
      <c r="BN574" s="110"/>
    </row>
    <row r="575" spans="1:66" s="8" customFormat="1" ht="12.75" customHeight="1" x14ac:dyDescent="0.25">
      <c r="A575" s="150">
        <v>520</v>
      </c>
      <c r="B575" s="150">
        <v>90</v>
      </c>
      <c r="C575" s="90">
        <v>2</v>
      </c>
      <c r="D575" s="111" t="s">
        <v>148</v>
      </c>
      <c r="E575" s="210" t="s">
        <v>766</v>
      </c>
      <c r="F575" s="150" t="s">
        <v>16</v>
      </c>
      <c r="G575" s="150" t="s">
        <v>17</v>
      </c>
      <c r="H575" s="150" t="s">
        <v>150</v>
      </c>
      <c r="I575" s="150" t="s">
        <v>769</v>
      </c>
      <c r="J575" s="151">
        <v>45525</v>
      </c>
      <c r="K575" s="135" t="s">
        <v>117</v>
      </c>
      <c r="L575" s="135">
        <v>461000446</v>
      </c>
      <c r="M575" s="151">
        <v>45530</v>
      </c>
      <c r="N575" s="220">
        <v>45529.697916666664</v>
      </c>
      <c r="O575" s="220">
        <v>45529.697916666664</v>
      </c>
      <c r="P575" s="152">
        <v>45529.701388888891</v>
      </c>
      <c r="Q575" s="152">
        <v>45529.90625</v>
      </c>
      <c r="R575" s="220" t="s">
        <v>118</v>
      </c>
      <c r="S575" s="152" t="s">
        <v>118</v>
      </c>
      <c r="T575" s="152">
        <v>45529.958333333336</v>
      </c>
      <c r="U575" s="152">
        <v>45530.097222222219</v>
      </c>
      <c r="V575" s="219">
        <f t="shared" si="324"/>
        <v>0.20833333333575865</v>
      </c>
      <c r="W575" s="203">
        <v>0.20833333333333334</v>
      </c>
      <c r="X575" s="219">
        <f t="shared" si="325"/>
        <v>2.4253099528692701E-12</v>
      </c>
      <c r="Y575" s="96">
        <v>59</v>
      </c>
      <c r="Z575" s="96">
        <v>0</v>
      </c>
      <c r="AA575" s="96">
        <f t="shared" si="298"/>
        <v>59</v>
      </c>
      <c r="AB575" s="97">
        <f t="shared" si="299"/>
        <v>3996.22</v>
      </c>
      <c r="AC575" s="97">
        <f t="shared" si="300"/>
        <v>0</v>
      </c>
      <c r="AD575" s="98">
        <v>3996.22</v>
      </c>
      <c r="AE575" s="98">
        <v>4087.4</v>
      </c>
      <c r="AF575" s="98">
        <v>4097</v>
      </c>
      <c r="AG575" s="98">
        <f t="shared" si="301"/>
        <v>100.7800000000002</v>
      </c>
      <c r="AH575" s="99">
        <v>672.5</v>
      </c>
      <c r="AI575" s="100">
        <f t="shared" si="302"/>
        <v>2755232.5</v>
      </c>
      <c r="AJ575" s="100">
        <f t="shared" si="321"/>
        <v>0</v>
      </c>
      <c r="AK575" s="100">
        <v>0</v>
      </c>
      <c r="AL575" s="100">
        <v>24290</v>
      </c>
      <c r="AM575" s="100">
        <v>0</v>
      </c>
      <c r="AN575" s="100">
        <v>0</v>
      </c>
      <c r="AO575" s="100">
        <v>0</v>
      </c>
      <c r="AP575" s="100">
        <f t="shared" si="322"/>
        <v>138977</v>
      </c>
      <c r="AQ575" s="101">
        <f t="shared" si="323"/>
        <v>2918500</v>
      </c>
      <c r="AR575" s="101">
        <v>0</v>
      </c>
      <c r="AS575" s="101">
        <v>0</v>
      </c>
      <c r="AT575" s="102" t="s">
        <v>33</v>
      </c>
      <c r="AU575" s="109">
        <v>4</v>
      </c>
      <c r="AV575" s="222">
        <f>14.65-8.65</f>
        <v>6</v>
      </c>
      <c r="AW575" s="105">
        <v>0</v>
      </c>
      <c r="AX575" s="216">
        <f t="shared" si="326"/>
        <v>2.4598486697583648</v>
      </c>
      <c r="AY575" s="217">
        <f t="shared" si="327"/>
        <v>67775</v>
      </c>
      <c r="AZ575" s="107"/>
      <c r="BA575" s="94"/>
      <c r="BB575" s="94"/>
      <c r="BC575" s="94"/>
      <c r="BD575" s="94"/>
      <c r="BE575" s="95"/>
      <c r="BF575" s="95"/>
      <c r="BG575" s="95"/>
      <c r="BH575" s="95"/>
      <c r="BI575" s="95"/>
      <c r="BJ575" s="95"/>
      <c r="BK575" s="95"/>
      <c r="BL575" s="95"/>
      <c r="BM575" s="95"/>
      <c r="BN575" s="110"/>
    </row>
    <row r="576" spans="1:66" s="8" customFormat="1" ht="12.75" customHeight="1" x14ac:dyDescent="0.25">
      <c r="A576" s="150">
        <v>521</v>
      </c>
      <c r="B576" s="150">
        <v>91</v>
      </c>
      <c r="C576" s="90">
        <v>15</v>
      </c>
      <c r="D576" s="111" t="s">
        <v>113</v>
      </c>
      <c r="E576" s="210" t="s">
        <v>711</v>
      </c>
      <c r="F576" s="150" t="s">
        <v>32</v>
      </c>
      <c r="G576" s="150" t="s">
        <v>8</v>
      </c>
      <c r="H576" s="150" t="s">
        <v>182</v>
      </c>
      <c r="I576" s="150" t="s">
        <v>770</v>
      </c>
      <c r="J576" s="151">
        <v>45530</v>
      </c>
      <c r="K576" s="135" t="s">
        <v>122</v>
      </c>
      <c r="L576" s="135">
        <v>261005950</v>
      </c>
      <c r="M576" s="151">
        <v>45530</v>
      </c>
      <c r="N576" s="220">
        <v>45530.256944444445</v>
      </c>
      <c r="O576" s="220">
        <v>45530.256944444445</v>
      </c>
      <c r="P576" s="152">
        <v>45530.263888888891</v>
      </c>
      <c r="Q576" s="152">
        <v>45530.458333333336</v>
      </c>
      <c r="R576" s="220" t="s">
        <v>118</v>
      </c>
      <c r="S576" s="152" t="s">
        <v>118</v>
      </c>
      <c r="T576" s="152">
        <v>45530.520833333336</v>
      </c>
      <c r="U576" s="152">
        <v>45530.62222222222</v>
      </c>
      <c r="V576" s="219">
        <f t="shared" si="324"/>
        <v>0.20138888889050577</v>
      </c>
      <c r="W576" s="203">
        <v>0.20833333333333334</v>
      </c>
      <c r="X576" s="219" t="str">
        <f t="shared" si="325"/>
        <v>00:00</v>
      </c>
      <c r="Y576" s="96">
        <v>0</v>
      </c>
      <c r="Z576" s="96">
        <v>59</v>
      </c>
      <c r="AA576" s="96">
        <f t="shared" si="298"/>
        <v>59</v>
      </c>
      <c r="AB576" s="97">
        <f t="shared" si="299"/>
        <v>0</v>
      </c>
      <c r="AC576" s="97">
        <f t="shared" si="300"/>
        <v>4099.17</v>
      </c>
      <c r="AD576" s="98">
        <v>4099.17</v>
      </c>
      <c r="AE576" s="98">
        <v>4104.1000000000004</v>
      </c>
      <c r="AF576" s="98">
        <v>4130</v>
      </c>
      <c r="AG576" s="98">
        <f t="shared" si="301"/>
        <v>30.829999999999927</v>
      </c>
      <c r="AH576" s="99">
        <v>1484</v>
      </c>
      <c r="AI576" s="100">
        <f t="shared" si="302"/>
        <v>6128920</v>
      </c>
      <c r="AJ576" s="100">
        <f t="shared" si="321"/>
        <v>0</v>
      </c>
      <c r="AK576" s="100">
        <v>0</v>
      </c>
      <c r="AL576" s="100">
        <v>24290</v>
      </c>
      <c r="AM576" s="100">
        <v>0</v>
      </c>
      <c r="AN576" s="100">
        <v>0</v>
      </c>
      <c r="AO576" s="100">
        <v>0</v>
      </c>
      <c r="AP576" s="100">
        <f t="shared" si="322"/>
        <v>307661</v>
      </c>
      <c r="AQ576" s="101">
        <f t="shared" si="323"/>
        <v>6460871</v>
      </c>
      <c r="AR576" s="101">
        <v>0</v>
      </c>
      <c r="AS576" s="101">
        <v>0</v>
      </c>
      <c r="AT576" s="102" t="s">
        <v>33</v>
      </c>
      <c r="AU576" s="109">
        <v>16</v>
      </c>
      <c r="AV576" s="222">
        <f>40.07-22.07</f>
        <v>18</v>
      </c>
      <c r="AW576" s="105">
        <v>0</v>
      </c>
      <c r="AX576" s="216">
        <f t="shared" si="326"/>
        <v>0.74648910411622105</v>
      </c>
      <c r="AY576" s="217">
        <f t="shared" si="327"/>
        <v>45752</v>
      </c>
      <c r="AZ576" s="107"/>
      <c r="BA576" s="94">
        <v>45530.256944444445</v>
      </c>
      <c r="BB576" s="94">
        <v>45530.263888888891</v>
      </c>
      <c r="BC576" s="94">
        <v>45530.276388888888</v>
      </c>
      <c r="BD576" s="94">
        <v>45530.448611111111</v>
      </c>
      <c r="BE576" s="95">
        <f t="shared" ref="BE576:BE599" si="328">+BD576-BA576</f>
        <v>0.19166666666569654</v>
      </c>
      <c r="BF576" s="95">
        <v>1.6666666666666666E-2</v>
      </c>
      <c r="BG576" s="95">
        <v>1.2500000000000001E-2</v>
      </c>
      <c r="BH576" s="95">
        <f t="shared" ref="BH576:BJ599" si="329">+BB576-BA576</f>
        <v>6.9444444452528842E-3</v>
      </c>
      <c r="BI576" s="95">
        <f t="shared" si="329"/>
        <v>1.2499999997089617E-2</v>
      </c>
      <c r="BJ576" s="95">
        <f t="shared" si="329"/>
        <v>0.17222222222335404</v>
      </c>
      <c r="BK576" s="95">
        <f t="shared" ref="BK576:BK599" si="330">+BI576+BJ576</f>
        <v>0.18472222222044365</v>
      </c>
      <c r="BL576" s="95">
        <f t="shared" ref="BL576:BL599" si="331">+BE576-BH576-BF576-BG576</f>
        <v>0.15555555555377698</v>
      </c>
      <c r="BM576" s="95" t="str">
        <f t="shared" ref="BM576:BM599" si="332">IF(VALUE(BE576)&lt;=VALUE("05:00"),"00:00",VALUE(BE576)-VALUE("05:00"))</f>
        <v>00:00</v>
      </c>
      <c r="BN576" s="110"/>
    </row>
    <row r="577" spans="1:66" s="8" customFormat="1" ht="12.75" customHeight="1" x14ac:dyDescent="0.25">
      <c r="A577" s="150">
        <v>522</v>
      </c>
      <c r="B577" s="150">
        <v>92</v>
      </c>
      <c r="C577" s="90">
        <v>1</v>
      </c>
      <c r="D577" s="111" t="s">
        <v>113</v>
      </c>
      <c r="E577" s="210" t="s">
        <v>771</v>
      </c>
      <c r="F577" s="150" t="s">
        <v>27</v>
      </c>
      <c r="G577" s="150" t="s">
        <v>12</v>
      </c>
      <c r="H577" s="150" t="s">
        <v>115</v>
      </c>
      <c r="I577" s="150" t="s">
        <v>772</v>
      </c>
      <c r="J577" s="151">
        <v>45527</v>
      </c>
      <c r="K577" s="135" t="s">
        <v>117</v>
      </c>
      <c r="L577" s="135">
        <v>282001009</v>
      </c>
      <c r="M577" s="151">
        <v>45531</v>
      </c>
      <c r="N577" s="220">
        <v>45530.520833333336</v>
      </c>
      <c r="O577" s="220">
        <v>45530.520833333336</v>
      </c>
      <c r="P577" s="152">
        <v>45530.524305555555</v>
      </c>
      <c r="Q577" s="152">
        <v>45530.729166666664</v>
      </c>
      <c r="R577" s="220" t="s">
        <v>118</v>
      </c>
      <c r="S577" s="152" t="s">
        <v>118</v>
      </c>
      <c r="T577" s="152">
        <v>45530.770833333336</v>
      </c>
      <c r="U577" s="152">
        <v>45530.916666666664</v>
      </c>
      <c r="V577" s="219">
        <f t="shared" si="324"/>
        <v>0.20833333332848269</v>
      </c>
      <c r="W577" s="203">
        <v>0.20833333333333334</v>
      </c>
      <c r="X577" s="219" t="str">
        <f t="shared" si="325"/>
        <v>00:00</v>
      </c>
      <c r="Y577" s="96">
        <v>0</v>
      </c>
      <c r="Z577" s="96">
        <v>59</v>
      </c>
      <c r="AA577" s="96">
        <f t="shared" si="298"/>
        <v>59</v>
      </c>
      <c r="AB577" s="97">
        <f t="shared" si="299"/>
        <v>0</v>
      </c>
      <c r="AC577" s="97">
        <f t="shared" si="300"/>
        <v>4089.2399999999993</v>
      </c>
      <c r="AD577" s="98">
        <v>4089.24</v>
      </c>
      <c r="AE577" s="98">
        <v>4104.8</v>
      </c>
      <c r="AF577" s="98">
        <v>4136</v>
      </c>
      <c r="AG577" s="98">
        <f t="shared" si="301"/>
        <v>46.760000000000218</v>
      </c>
      <c r="AH577" s="99">
        <v>1586.7</v>
      </c>
      <c r="AI577" s="100">
        <f t="shared" si="302"/>
        <v>6562591.2000000002</v>
      </c>
      <c r="AJ577" s="100">
        <f t="shared" si="321"/>
        <v>0</v>
      </c>
      <c r="AK577" s="100">
        <v>0</v>
      </c>
      <c r="AL577" s="100">
        <v>48580</v>
      </c>
      <c r="AM577" s="100">
        <v>0</v>
      </c>
      <c r="AN577" s="100">
        <v>0</v>
      </c>
      <c r="AO577" s="100">
        <f>IFERROR(AF577*20+(((AJ577/AH577)/2)*20),0)</f>
        <v>82720</v>
      </c>
      <c r="AP577" s="100">
        <f t="shared" si="322"/>
        <v>334695</v>
      </c>
      <c r="AQ577" s="101">
        <f t="shared" si="323"/>
        <v>7028587</v>
      </c>
      <c r="AR577" s="101">
        <v>0</v>
      </c>
      <c r="AS577" s="101">
        <v>0</v>
      </c>
      <c r="AT577" s="102" t="s">
        <v>33</v>
      </c>
      <c r="AU577" s="109">
        <v>26</v>
      </c>
      <c r="AV577" s="222">
        <f>52-25</f>
        <v>27</v>
      </c>
      <c r="AW577" s="105">
        <v>0</v>
      </c>
      <c r="AX577" s="216">
        <f t="shared" si="326"/>
        <v>1.130560928433274</v>
      </c>
      <c r="AY577" s="217">
        <f t="shared" si="327"/>
        <v>74195</v>
      </c>
      <c r="AZ577" s="107"/>
      <c r="BA577" s="94">
        <v>45530.520833333336</v>
      </c>
      <c r="BB577" s="94">
        <v>45530.524305555555</v>
      </c>
      <c r="BC577" s="94">
        <v>45530.55</v>
      </c>
      <c r="BD577" s="94">
        <v>45530.697222222225</v>
      </c>
      <c r="BE577" s="95">
        <f t="shared" si="328"/>
        <v>0.17638888888905058</v>
      </c>
      <c r="BF577" s="95">
        <v>2.2222222222222223E-2</v>
      </c>
      <c r="BG577" s="95">
        <v>6.9444444444444441E-3</v>
      </c>
      <c r="BH577" s="95">
        <f t="shared" si="329"/>
        <v>3.4722222189884633E-3</v>
      </c>
      <c r="BI577" s="95">
        <f t="shared" si="329"/>
        <v>2.5694444448163267E-2</v>
      </c>
      <c r="BJ577" s="95">
        <f t="shared" si="329"/>
        <v>0.14722222222189885</v>
      </c>
      <c r="BK577" s="95">
        <f t="shared" si="330"/>
        <v>0.17291666667006211</v>
      </c>
      <c r="BL577" s="95">
        <f t="shared" si="331"/>
        <v>0.14375000000339544</v>
      </c>
      <c r="BM577" s="95" t="str">
        <f t="shared" si="332"/>
        <v>00:00</v>
      </c>
      <c r="BN577" s="110"/>
    </row>
    <row r="578" spans="1:66" s="8" customFormat="1" ht="12.75" customHeight="1" x14ac:dyDescent="0.25">
      <c r="A578" s="150">
        <v>523</v>
      </c>
      <c r="B578" s="150">
        <v>93</v>
      </c>
      <c r="C578" s="90">
        <v>2</v>
      </c>
      <c r="D578" s="111" t="s">
        <v>113</v>
      </c>
      <c r="E578" s="210" t="s">
        <v>759</v>
      </c>
      <c r="F578" s="150" t="s">
        <v>29</v>
      </c>
      <c r="G578" s="150" t="s">
        <v>8</v>
      </c>
      <c r="H578" s="150" t="s">
        <v>124</v>
      </c>
      <c r="I578" s="150" t="s">
        <v>773</v>
      </c>
      <c r="J578" s="151">
        <v>45530</v>
      </c>
      <c r="K578" s="135" t="s">
        <v>122</v>
      </c>
      <c r="L578" s="135">
        <v>261005951</v>
      </c>
      <c r="M578" s="151">
        <v>45531</v>
      </c>
      <c r="N578" s="220">
        <v>45530.725694444445</v>
      </c>
      <c r="O578" s="220">
        <v>45530.725694444445</v>
      </c>
      <c r="P578" s="152">
        <v>45530.732638888891</v>
      </c>
      <c r="Q578" s="152">
        <v>45530.934027777781</v>
      </c>
      <c r="R578" s="220" t="s">
        <v>118</v>
      </c>
      <c r="S578" s="152" t="s">
        <v>118</v>
      </c>
      <c r="T578" s="152">
        <v>45530.958333333336</v>
      </c>
      <c r="U578" s="152">
        <v>45531.107638888891</v>
      </c>
      <c r="V578" s="219">
        <f t="shared" si="324"/>
        <v>0.20833333333575865</v>
      </c>
      <c r="W578" s="203">
        <v>0.20833333333333334</v>
      </c>
      <c r="X578" s="219">
        <f t="shared" si="325"/>
        <v>2.4253099528692701E-12</v>
      </c>
      <c r="Y578" s="96">
        <v>0</v>
      </c>
      <c r="Z578" s="96">
        <v>59</v>
      </c>
      <c r="AA578" s="96">
        <f t="shared" si="298"/>
        <v>59</v>
      </c>
      <c r="AB578" s="97">
        <f t="shared" si="299"/>
        <v>0</v>
      </c>
      <c r="AC578" s="97">
        <f t="shared" si="300"/>
        <v>4094.91</v>
      </c>
      <c r="AD578" s="98">
        <v>4094.91</v>
      </c>
      <c r="AE578" s="98">
        <v>4116.3</v>
      </c>
      <c r="AF578" s="98">
        <v>4131.6000000000004</v>
      </c>
      <c r="AG578" s="98">
        <f t="shared" si="301"/>
        <v>36.690000000000509</v>
      </c>
      <c r="AH578" s="99">
        <v>797.2</v>
      </c>
      <c r="AI578" s="100">
        <f t="shared" si="302"/>
        <v>3293711.5200000005</v>
      </c>
      <c r="AJ578" s="100">
        <f t="shared" si="321"/>
        <v>0</v>
      </c>
      <c r="AK578" s="100">
        <v>0</v>
      </c>
      <c r="AL578" s="100">
        <v>24290</v>
      </c>
      <c r="AM578" s="100">
        <v>0</v>
      </c>
      <c r="AN578" s="100">
        <v>0</v>
      </c>
      <c r="AO578" s="100">
        <v>0</v>
      </c>
      <c r="AP578" s="100">
        <f t="shared" si="322"/>
        <v>165901</v>
      </c>
      <c r="AQ578" s="101">
        <f t="shared" si="323"/>
        <v>3483903</v>
      </c>
      <c r="AR578" s="101">
        <v>0</v>
      </c>
      <c r="AS578" s="101">
        <v>0</v>
      </c>
      <c r="AT578" s="102" t="s">
        <v>33</v>
      </c>
      <c r="AU578" s="109">
        <v>7</v>
      </c>
      <c r="AV578" s="222">
        <f>18.8-13.3</f>
        <v>5.5</v>
      </c>
      <c r="AW578" s="105">
        <v>0</v>
      </c>
      <c r="AX578" s="216">
        <f t="shared" si="326"/>
        <v>0.88803369154808087</v>
      </c>
      <c r="AY578" s="217">
        <f t="shared" si="327"/>
        <v>29250</v>
      </c>
      <c r="AZ578" s="107"/>
      <c r="BA578" s="94">
        <v>45530.725694444445</v>
      </c>
      <c r="BB578" s="94">
        <v>45530.732638888891</v>
      </c>
      <c r="BC578" s="94">
        <v>45530.765277777777</v>
      </c>
      <c r="BD578" s="94">
        <v>45530.923611111109</v>
      </c>
      <c r="BE578" s="95">
        <f t="shared" si="328"/>
        <v>0.19791666666424135</v>
      </c>
      <c r="BF578" s="95">
        <v>3.2638888888888891E-2</v>
      </c>
      <c r="BG578" s="95">
        <v>1.6666666666666666E-2</v>
      </c>
      <c r="BH578" s="95">
        <f t="shared" si="329"/>
        <v>6.9444444452528842E-3</v>
      </c>
      <c r="BI578" s="95">
        <f t="shared" si="329"/>
        <v>3.2638888886140194E-2</v>
      </c>
      <c r="BJ578" s="95">
        <f t="shared" si="329"/>
        <v>0.15833333333284827</v>
      </c>
      <c r="BK578" s="95">
        <f t="shared" si="330"/>
        <v>0.19097222221898846</v>
      </c>
      <c r="BL578" s="95">
        <f t="shared" si="331"/>
        <v>0.14166666666343292</v>
      </c>
      <c r="BM578" s="95" t="str">
        <f t="shared" si="332"/>
        <v>00:00</v>
      </c>
      <c r="BN578" s="110"/>
    </row>
    <row r="579" spans="1:66" s="8" customFormat="1" ht="12.75" customHeight="1" x14ac:dyDescent="0.25">
      <c r="A579" s="150">
        <v>524</v>
      </c>
      <c r="B579" s="150">
        <v>94</v>
      </c>
      <c r="C579" s="90">
        <v>3</v>
      </c>
      <c r="D579" s="111" t="s">
        <v>148</v>
      </c>
      <c r="E579" s="210" t="s">
        <v>766</v>
      </c>
      <c r="F579" s="150" t="s">
        <v>16</v>
      </c>
      <c r="G579" s="150" t="s">
        <v>17</v>
      </c>
      <c r="H579" s="150" t="s">
        <v>150</v>
      </c>
      <c r="I579" s="150" t="s">
        <v>774</v>
      </c>
      <c r="J579" s="151">
        <v>45525</v>
      </c>
      <c r="K579" s="135" t="s">
        <v>117</v>
      </c>
      <c r="L579" s="135">
        <v>461000447</v>
      </c>
      <c r="M579" s="151">
        <v>45531</v>
      </c>
      <c r="N579" s="152">
        <v>45530.96875</v>
      </c>
      <c r="O579" s="152">
        <v>45530.96875</v>
      </c>
      <c r="P579" s="152">
        <v>45530.972222222219</v>
      </c>
      <c r="Q579" s="152">
        <v>45531.177083333336</v>
      </c>
      <c r="R579" s="152" t="s">
        <v>118</v>
      </c>
      <c r="S579" s="152" t="s">
        <v>118</v>
      </c>
      <c r="T579" s="152">
        <v>45531.270833333336</v>
      </c>
      <c r="U579" s="152">
        <v>45531.368055555555</v>
      </c>
      <c r="V579" s="219">
        <f t="shared" si="324"/>
        <v>0.20833333333575865</v>
      </c>
      <c r="W579" s="203">
        <v>0.20833333333333334</v>
      </c>
      <c r="X579" s="219">
        <f t="shared" si="325"/>
        <v>2.4253099528692701E-12</v>
      </c>
      <c r="Y579" s="96">
        <v>12</v>
      </c>
      <c r="Z579" s="96">
        <v>47</v>
      </c>
      <c r="AA579" s="96">
        <f t="shared" si="298"/>
        <v>59</v>
      </c>
      <c r="AB579" s="97">
        <f t="shared" si="299"/>
        <v>814.96881355932203</v>
      </c>
      <c r="AC579" s="97">
        <f t="shared" si="300"/>
        <v>3191.9611864406779</v>
      </c>
      <c r="AD579" s="98">
        <v>4006.93</v>
      </c>
      <c r="AE579" s="98">
        <v>4058.3</v>
      </c>
      <c r="AF579" s="98">
        <v>4076</v>
      </c>
      <c r="AG579" s="98">
        <f t="shared" si="301"/>
        <v>69.070000000000164</v>
      </c>
      <c r="AH579" s="99">
        <v>672.5</v>
      </c>
      <c r="AI579" s="100">
        <f t="shared" si="302"/>
        <v>2741110</v>
      </c>
      <c r="AJ579" s="100">
        <f t="shared" si="321"/>
        <v>0</v>
      </c>
      <c r="AK579" s="100">
        <v>0</v>
      </c>
      <c r="AL579" s="100">
        <v>24290</v>
      </c>
      <c r="AM579" s="100">
        <v>0</v>
      </c>
      <c r="AN579" s="100">
        <v>0</v>
      </c>
      <c r="AO579" s="100">
        <v>0</v>
      </c>
      <c r="AP579" s="100">
        <f t="shared" si="322"/>
        <v>138270</v>
      </c>
      <c r="AQ579" s="101">
        <f t="shared" si="323"/>
        <v>2903670</v>
      </c>
      <c r="AR579" s="101">
        <v>0</v>
      </c>
      <c r="AS579" s="101">
        <v>0</v>
      </c>
      <c r="AT579" s="102" t="s">
        <v>33</v>
      </c>
      <c r="AU579" s="109">
        <v>15</v>
      </c>
      <c r="AV579" s="100">
        <f>30.21-15.21</f>
        <v>15</v>
      </c>
      <c r="AW579" s="105">
        <v>0</v>
      </c>
      <c r="AX579" s="216">
        <f t="shared" si="326"/>
        <v>1.6945534838076586</v>
      </c>
      <c r="AY579" s="217">
        <f t="shared" si="327"/>
        <v>46450</v>
      </c>
      <c r="AZ579" s="107"/>
      <c r="BA579" s="94">
        <v>45530.96875</v>
      </c>
      <c r="BB579" s="94">
        <v>45530.972222222219</v>
      </c>
      <c r="BC579" s="94">
        <v>45530.972222222219</v>
      </c>
      <c r="BD579" s="94">
        <v>45531.161111111112</v>
      </c>
      <c r="BE579" s="95">
        <f t="shared" si="328"/>
        <v>0.19236111111240461</v>
      </c>
      <c r="BF579" s="95">
        <v>4.8611111111111112E-2</v>
      </c>
      <c r="BG579" s="95">
        <v>0</v>
      </c>
      <c r="BH579" s="95">
        <f t="shared" si="329"/>
        <v>3.4722222189884633E-3</v>
      </c>
      <c r="BI579" s="95">
        <f t="shared" si="329"/>
        <v>0</v>
      </c>
      <c r="BJ579" s="95">
        <f t="shared" si="329"/>
        <v>0.18888888889341615</v>
      </c>
      <c r="BK579" s="95">
        <f t="shared" si="330"/>
        <v>0.18888888889341615</v>
      </c>
      <c r="BL579" s="95">
        <f t="shared" si="331"/>
        <v>0.14027777778230505</v>
      </c>
      <c r="BM579" s="95" t="str">
        <f t="shared" si="332"/>
        <v>00:00</v>
      </c>
      <c r="BN579" s="110"/>
    </row>
    <row r="580" spans="1:66" s="8" customFormat="1" ht="12.75" customHeight="1" x14ac:dyDescent="0.25">
      <c r="A580" s="150">
        <v>525</v>
      </c>
      <c r="B580" s="150">
        <v>95</v>
      </c>
      <c r="C580" s="90">
        <v>4</v>
      </c>
      <c r="D580" s="111" t="s">
        <v>148</v>
      </c>
      <c r="E580" s="210" t="s">
        <v>766</v>
      </c>
      <c r="F580" s="150" t="s">
        <v>16</v>
      </c>
      <c r="G580" s="150" t="s">
        <v>17</v>
      </c>
      <c r="H580" s="150" t="s">
        <v>150</v>
      </c>
      <c r="I580" s="150" t="s">
        <v>775</v>
      </c>
      <c r="J580" s="151">
        <v>45527</v>
      </c>
      <c r="K580" s="135" t="s">
        <v>122</v>
      </c>
      <c r="L580" s="135">
        <v>461000448</v>
      </c>
      <c r="M580" s="151">
        <v>45531</v>
      </c>
      <c r="N580" s="152">
        <v>45531.166666666664</v>
      </c>
      <c r="O580" s="152">
        <v>45531.166666666664</v>
      </c>
      <c r="P580" s="152">
        <v>45531.177083333336</v>
      </c>
      <c r="Q580" s="152">
        <v>45531.375</v>
      </c>
      <c r="R580" s="152" t="s">
        <v>118</v>
      </c>
      <c r="S580" s="152">
        <v>45531.5</v>
      </c>
      <c r="T580" s="152">
        <v>45531.53125</v>
      </c>
      <c r="U580" s="152">
        <v>45531.654166666667</v>
      </c>
      <c r="V580" s="219">
        <f t="shared" si="324"/>
        <v>0.20833333333575865</v>
      </c>
      <c r="W580" s="203">
        <v>0.20833333333333334</v>
      </c>
      <c r="X580" s="219">
        <f t="shared" si="325"/>
        <v>2.4253099528692701E-12</v>
      </c>
      <c r="Y580" s="96">
        <v>35</v>
      </c>
      <c r="Z580" s="96">
        <v>24</v>
      </c>
      <c r="AA580" s="96">
        <f t="shared" si="298"/>
        <v>59</v>
      </c>
      <c r="AB580" s="97">
        <f t="shared" si="299"/>
        <v>2421.8932203389832</v>
      </c>
      <c r="AC580" s="97">
        <f t="shared" si="300"/>
        <v>1660.726779661017</v>
      </c>
      <c r="AD580" s="98">
        <v>4082.62</v>
      </c>
      <c r="AE580" s="98">
        <v>4109.2</v>
      </c>
      <c r="AF580" s="98">
        <v>4135</v>
      </c>
      <c r="AG580" s="98">
        <f t="shared" si="301"/>
        <v>52.380000000000109</v>
      </c>
      <c r="AH580" s="99">
        <v>672.5</v>
      </c>
      <c r="AI580" s="100">
        <f t="shared" si="302"/>
        <v>2780787.5</v>
      </c>
      <c r="AJ580" s="100">
        <f t="shared" si="321"/>
        <v>0</v>
      </c>
      <c r="AK580" s="100">
        <v>0</v>
      </c>
      <c r="AL580" s="100">
        <v>24290</v>
      </c>
      <c r="AM580" s="100">
        <v>0</v>
      </c>
      <c r="AN580" s="100">
        <v>0</v>
      </c>
      <c r="AO580" s="100">
        <v>0</v>
      </c>
      <c r="AP580" s="100">
        <f t="shared" si="322"/>
        <v>140254</v>
      </c>
      <c r="AQ580" s="101">
        <f t="shared" si="323"/>
        <v>2945332</v>
      </c>
      <c r="AR580" s="101">
        <v>0</v>
      </c>
      <c r="AS580" s="101">
        <v>0</v>
      </c>
      <c r="AT580" s="102" t="s">
        <v>33</v>
      </c>
      <c r="AU580" s="109">
        <v>19</v>
      </c>
      <c r="AV580" s="100">
        <f>66.02-22.57</f>
        <v>43.449999999999996</v>
      </c>
      <c r="AW580" s="105">
        <v>3</v>
      </c>
      <c r="AX580" s="216">
        <f t="shared" si="326"/>
        <v>1.2667472793228562</v>
      </c>
      <c r="AY580" s="217">
        <f t="shared" si="327"/>
        <v>35226</v>
      </c>
      <c r="AZ580" s="107"/>
      <c r="BA580" s="94">
        <v>45531.166666666664</v>
      </c>
      <c r="BB580" s="94">
        <v>45531.177083333336</v>
      </c>
      <c r="BC580" s="94">
        <v>45531.229166666664</v>
      </c>
      <c r="BD580" s="94">
        <v>45531.429166666669</v>
      </c>
      <c r="BE580" s="95">
        <f t="shared" si="328"/>
        <v>0.26250000000436557</v>
      </c>
      <c r="BF580" s="95">
        <v>0.1125</v>
      </c>
      <c r="BG580" s="95">
        <v>4.1666666666666664E-2</v>
      </c>
      <c r="BH580" s="95">
        <f t="shared" si="329"/>
        <v>1.0416666671517305E-2</v>
      </c>
      <c r="BI580" s="95">
        <f t="shared" si="329"/>
        <v>5.2083333328482695E-2</v>
      </c>
      <c r="BJ580" s="95">
        <f t="shared" si="329"/>
        <v>0.20000000000436557</v>
      </c>
      <c r="BK580" s="95">
        <f t="shared" si="330"/>
        <v>0.25208333333284827</v>
      </c>
      <c r="BL580" s="95">
        <f t="shared" si="331"/>
        <v>9.7916666666181623E-2</v>
      </c>
      <c r="BM580" s="95">
        <f t="shared" si="332"/>
        <v>5.4166666671032232E-2</v>
      </c>
      <c r="BN580" s="110"/>
    </row>
    <row r="581" spans="1:66" s="8" customFormat="1" ht="12.75" customHeight="1" x14ac:dyDescent="0.25">
      <c r="A581" s="150">
        <v>526</v>
      </c>
      <c r="B581" s="150">
        <v>96</v>
      </c>
      <c r="C581" s="90">
        <v>5</v>
      </c>
      <c r="D581" s="111" t="s">
        <v>148</v>
      </c>
      <c r="E581" s="210" t="s">
        <v>766</v>
      </c>
      <c r="F581" s="150" t="s">
        <v>16</v>
      </c>
      <c r="G581" s="150" t="s">
        <v>17</v>
      </c>
      <c r="H581" s="150" t="s">
        <v>150</v>
      </c>
      <c r="I581" s="150" t="s">
        <v>776</v>
      </c>
      <c r="J581" s="151">
        <v>45527</v>
      </c>
      <c r="K581" s="135" t="s">
        <v>117</v>
      </c>
      <c r="L581" s="135">
        <v>461000449</v>
      </c>
      <c r="M581" s="151">
        <v>45531</v>
      </c>
      <c r="N581" s="152">
        <v>45531.5</v>
      </c>
      <c r="O581" s="152">
        <v>45531.5</v>
      </c>
      <c r="P581" s="152">
        <v>45531.506944444445</v>
      </c>
      <c r="Q581" s="152">
        <v>45531.708333333336</v>
      </c>
      <c r="R581" s="152" t="s">
        <v>118</v>
      </c>
      <c r="S581" s="152">
        <v>45531.75</v>
      </c>
      <c r="T581" s="152">
        <v>45531.78125</v>
      </c>
      <c r="U581" s="152">
        <v>45531.864583333336</v>
      </c>
      <c r="V581" s="219">
        <f t="shared" si="324"/>
        <v>0.20833333333575865</v>
      </c>
      <c r="W581" s="203">
        <v>0.20833333333333334</v>
      </c>
      <c r="X581" s="219">
        <f t="shared" si="325"/>
        <v>2.4253099528692701E-12</v>
      </c>
      <c r="Y581" s="96">
        <v>18</v>
      </c>
      <c r="Z581" s="96">
        <v>41</v>
      </c>
      <c r="AA581" s="96">
        <f t="shared" si="298"/>
        <v>59</v>
      </c>
      <c r="AB581" s="97">
        <f t="shared" si="299"/>
        <v>1245.4108474576269</v>
      </c>
      <c r="AC581" s="97">
        <f t="shared" si="300"/>
        <v>2836.7691525423725</v>
      </c>
      <c r="AD581" s="98">
        <v>4082.18</v>
      </c>
      <c r="AE581" s="98">
        <v>4120.2</v>
      </c>
      <c r="AF581" s="98">
        <v>4132.6000000000004</v>
      </c>
      <c r="AG581" s="98">
        <f t="shared" si="301"/>
        <v>50.420000000000528</v>
      </c>
      <c r="AH581" s="99">
        <v>672.5</v>
      </c>
      <c r="AI581" s="100">
        <f t="shared" si="302"/>
        <v>2779173.5000000005</v>
      </c>
      <c r="AJ581" s="100">
        <f t="shared" si="321"/>
        <v>0</v>
      </c>
      <c r="AK581" s="100">
        <v>0</v>
      </c>
      <c r="AL581" s="100">
        <v>24290</v>
      </c>
      <c r="AM581" s="100">
        <v>0</v>
      </c>
      <c r="AN581" s="100">
        <v>0</v>
      </c>
      <c r="AO581" s="100">
        <v>0</v>
      </c>
      <c r="AP581" s="100">
        <f t="shared" si="322"/>
        <v>140174</v>
      </c>
      <c r="AQ581" s="101">
        <f t="shared" si="323"/>
        <v>2943638</v>
      </c>
      <c r="AR581" s="101">
        <v>0</v>
      </c>
      <c r="AS581" s="101">
        <v>0</v>
      </c>
      <c r="AT581" s="102" t="s">
        <v>33</v>
      </c>
      <c r="AU581" s="109">
        <v>10</v>
      </c>
      <c r="AV581" s="100">
        <f>27.2-10.7</f>
        <v>16.5</v>
      </c>
      <c r="AW581" s="105">
        <v>1</v>
      </c>
      <c r="AX581" s="216">
        <f t="shared" si="326"/>
        <v>1.2200551710787524</v>
      </c>
      <c r="AY581" s="217">
        <f t="shared" si="327"/>
        <v>33908</v>
      </c>
      <c r="AZ581" s="107"/>
      <c r="BA581" s="94">
        <v>45531.5</v>
      </c>
      <c r="BB581" s="94">
        <v>45531.506944444445</v>
      </c>
      <c r="BC581" s="94">
        <v>45531.583333333336</v>
      </c>
      <c r="BD581" s="94">
        <v>45531.73333333333</v>
      </c>
      <c r="BE581" s="95">
        <f t="shared" si="328"/>
        <v>0.23333333332993789</v>
      </c>
      <c r="BF581" s="95">
        <v>2.1527777777777778E-2</v>
      </c>
      <c r="BG581" s="95">
        <v>8.1250000000000003E-2</v>
      </c>
      <c r="BH581" s="95">
        <f t="shared" si="329"/>
        <v>6.9444444452528842E-3</v>
      </c>
      <c r="BI581" s="95">
        <f t="shared" si="329"/>
        <v>7.6388888890505768E-2</v>
      </c>
      <c r="BJ581" s="95">
        <f t="shared" si="329"/>
        <v>0.14999999999417923</v>
      </c>
      <c r="BK581" s="95">
        <f t="shared" si="330"/>
        <v>0.226388888884685</v>
      </c>
      <c r="BL581" s="95">
        <f t="shared" si="331"/>
        <v>0.12361111110690721</v>
      </c>
      <c r="BM581" s="95">
        <f t="shared" si="332"/>
        <v>2.4999999996604544E-2</v>
      </c>
      <c r="BN581" s="110"/>
    </row>
    <row r="582" spans="1:66" s="8" customFormat="1" ht="12.75" customHeight="1" x14ac:dyDescent="0.25">
      <c r="A582" s="150">
        <v>527</v>
      </c>
      <c r="B582" s="150">
        <v>97</v>
      </c>
      <c r="C582" s="90">
        <v>2</v>
      </c>
      <c r="D582" s="111" t="s">
        <v>113</v>
      </c>
      <c r="E582" s="210" t="s">
        <v>771</v>
      </c>
      <c r="F582" s="150" t="s">
        <v>27</v>
      </c>
      <c r="G582" s="150" t="s">
        <v>12</v>
      </c>
      <c r="H582" s="150" t="s">
        <v>115</v>
      </c>
      <c r="I582" s="150" t="s">
        <v>777</v>
      </c>
      <c r="J582" s="151">
        <v>45531</v>
      </c>
      <c r="K582" s="135" t="s">
        <v>122</v>
      </c>
      <c r="L582" s="135">
        <v>282001010</v>
      </c>
      <c r="M582" s="151">
        <v>45532</v>
      </c>
      <c r="N582" s="152">
        <v>45531.791666666664</v>
      </c>
      <c r="O582" s="152">
        <v>45531.791666666664</v>
      </c>
      <c r="P582" s="152">
        <v>45531.798611111109</v>
      </c>
      <c r="Q582" s="152">
        <v>45531.993055555555</v>
      </c>
      <c r="R582" s="152" t="s">
        <v>118</v>
      </c>
      <c r="S582" s="152">
        <v>45532.0625</v>
      </c>
      <c r="T582" s="152">
        <v>45532.083333333336</v>
      </c>
      <c r="U582" s="152">
        <v>45532.229166666664</v>
      </c>
      <c r="V582" s="219">
        <f t="shared" si="324"/>
        <v>0.20138888889050577</v>
      </c>
      <c r="W582" s="203">
        <v>0.20833333333333334</v>
      </c>
      <c r="X582" s="219" t="str">
        <f t="shared" si="325"/>
        <v>00:00</v>
      </c>
      <c r="Y582" s="96">
        <v>0</v>
      </c>
      <c r="Z582" s="96">
        <v>58</v>
      </c>
      <c r="AA582" s="96">
        <f t="shared" si="298"/>
        <v>58</v>
      </c>
      <c r="AB582" s="97">
        <f t="shared" si="299"/>
        <v>0</v>
      </c>
      <c r="AC582" s="97">
        <f t="shared" si="300"/>
        <v>4032.92</v>
      </c>
      <c r="AD582" s="98">
        <v>4032.92</v>
      </c>
      <c r="AE582" s="98">
        <v>4038.6</v>
      </c>
      <c r="AF582" s="98">
        <v>4058.4</v>
      </c>
      <c r="AG582" s="98">
        <f t="shared" si="301"/>
        <v>25.480000000000018</v>
      </c>
      <c r="AH582" s="99">
        <v>1586.7</v>
      </c>
      <c r="AI582" s="100">
        <f t="shared" si="302"/>
        <v>6439463.2800000003</v>
      </c>
      <c r="AJ582" s="100">
        <f t="shared" si="321"/>
        <v>0</v>
      </c>
      <c r="AK582" s="100">
        <v>0</v>
      </c>
      <c r="AL582" s="100">
        <v>24140</v>
      </c>
      <c r="AM582" s="100">
        <v>0</v>
      </c>
      <c r="AN582" s="100">
        <v>0</v>
      </c>
      <c r="AO582" s="100">
        <f>IFERROR(AF582*20+(((AJ582/AH582)/2)*20),0)</f>
        <v>81168</v>
      </c>
      <c r="AP582" s="100">
        <f t="shared" si="322"/>
        <v>327239</v>
      </c>
      <c r="AQ582" s="101">
        <f t="shared" si="323"/>
        <v>6872011</v>
      </c>
      <c r="AR582" s="101">
        <v>0</v>
      </c>
      <c r="AS582" s="101">
        <v>0</v>
      </c>
      <c r="AT582" s="102" t="s">
        <v>34</v>
      </c>
      <c r="AU582" s="109">
        <v>8</v>
      </c>
      <c r="AV582" s="100">
        <f>24-18</f>
        <v>6</v>
      </c>
      <c r="AW582" s="105">
        <v>2</v>
      </c>
      <c r="AX582" s="216">
        <f t="shared" si="326"/>
        <v>0.62783362901636164</v>
      </c>
      <c r="AY582" s="217">
        <f t="shared" si="327"/>
        <v>40430</v>
      </c>
      <c r="AZ582" s="107"/>
      <c r="BA582" s="94">
        <v>45531.791666666664</v>
      </c>
      <c r="BB582" s="94">
        <v>45531.798611111109</v>
      </c>
      <c r="BC582" s="94">
        <v>45531.809027777781</v>
      </c>
      <c r="BD582" s="94">
        <v>45532.048611111109</v>
      </c>
      <c r="BE582" s="95">
        <f t="shared" si="328"/>
        <v>0.25694444444525288</v>
      </c>
      <c r="BF582" s="95">
        <v>2.0833333333333332E-2</v>
      </c>
      <c r="BG582" s="95">
        <v>9.0277777777777776E-2</v>
      </c>
      <c r="BH582" s="95">
        <f t="shared" si="329"/>
        <v>6.9444444452528842E-3</v>
      </c>
      <c r="BI582" s="95">
        <f t="shared" si="329"/>
        <v>1.0416666671517305E-2</v>
      </c>
      <c r="BJ582" s="95">
        <f t="shared" si="329"/>
        <v>0.23958333332848269</v>
      </c>
      <c r="BK582" s="95">
        <f t="shared" si="330"/>
        <v>0.25</v>
      </c>
      <c r="BL582" s="95">
        <f t="shared" si="331"/>
        <v>0.1388888888888889</v>
      </c>
      <c r="BM582" s="95">
        <f t="shared" si="332"/>
        <v>4.8611111111919542E-2</v>
      </c>
      <c r="BN582" s="110"/>
    </row>
    <row r="583" spans="1:66" s="8" customFormat="1" ht="12.75" customHeight="1" x14ac:dyDescent="0.25">
      <c r="A583" s="150">
        <v>528</v>
      </c>
      <c r="B583" s="150">
        <v>98</v>
      </c>
      <c r="C583" s="90">
        <v>3</v>
      </c>
      <c r="D583" s="111" t="s">
        <v>113</v>
      </c>
      <c r="E583" s="210" t="s">
        <v>759</v>
      </c>
      <c r="F583" s="150" t="s">
        <v>29</v>
      </c>
      <c r="G583" s="150" t="s">
        <v>8</v>
      </c>
      <c r="H583" s="150" t="s">
        <v>124</v>
      </c>
      <c r="I583" s="150" t="s">
        <v>778</v>
      </c>
      <c r="J583" s="151">
        <v>45531</v>
      </c>
      <c r="K583" s="135" t="s">
        <v>117</v>
      </c>
      <c r="L583" s="135">
        <v>261005955</v>
      </c>
      <c r="M583" s="151">
        <v>45532</v>
      </c>
      <c r="N583" s="152">
        <v>45532.208333333336</v>
      </c>
      <c r="O583" s="152">
        <v>45532.208333333336</v>
      </c>
      <c r="P583" s="152">
        <v>45532.211805555555</v>
      </c>
      <c r="Q583" s="152">
        <v>45532.416666666664</v>
      </c>
      <c r="R583" s="152" t="s">
        <v>118</v>
      </c>
      <c r="S583" s="152" t="s">
        <v>118</v>
      </c>
      <c r="T583" s="152">
        <v>45532.5</v>
      </c>
      <c r="U583" s="152">
        <v>45532.56527777778</v>
      </c>
      <c r="V583" s="219">
        <f t="shared" si="324"/>
        <v>0.20833333332848269</v>
      </c>
      <c r="W583" s="203">
        <v>0.20833333333333334</v>
      </c>
      <c r="X583" s="219" t="str">
        <f t="shared" si="325"/>
        <v>00:00</v>
      </c>
      <c r="Y583" s="96">
        <v>0</v>
      </c>
      <c r="Z583" s="96">
        <v>59</v>
      </c>
      <c r="AA583" s="96">
        <f t="shared" si="298"/>
        <v>59</v>
      </c>
      <c r="AB583" s="97">
        <f t="shared" si="299"/>
        <v>0</v>
      </c>
      <c r="AC583" s="97">
        <f t="shared" si="300"/>
        <v>4076.23</v>
      </c>
      <c r="AD583" s="98">
        <v>4076.23</v>
      </c>
      <c r="AE583" s="98">
        <v>4111.3999999999996</v>
      </c>
      <c r="AF583" s="98">
        <v>4121.2</v>
      </c>
      <c r="AG583" s="98">
        <f t="shared" si="301"/>
        <v>44.9699999999998</v>
      </c>
      <c r="AH583" s="99">
        <v>797.2</v>
      </c>
      <c r="AI583" s="100">
        <f t="shared" si="302"/>
        <v>3285420.64</v>
      </c>
      <c r="AJ583" s="100">
        <f>(0.4*AH583)*2</f>
        <v>637.7600000000001</v>
      </c>
      <c r="AK583" s="100">
        <v>0</v>
      </c>
      <c r="AL583" s="100">
        <v>0</v>
      </c>
      <c r="AM583" s="100">
        <v>0</v>
      </c>
      <c r="AN583" s="100">
        <v>0</v>
      </c>
      <c r="AO583" s="100">
        <v>0</v>
      </c>
      <c r="AP583" s="100">
        <f t="shared" si="322"/>
        <v>164303</v>
      </c>
      <c r="AQ583" s="101">
        <f t="shared" si="323"/>
        <v>3450362</v>
      </c>
      <c r="AR583" s="101">
        <v>0</v>
      </c>
      <c r="AS583" s="101">
        <v>0</v>
      </c>
      <c r="AT583" s="102" t="s">
        <v>34</v>
      </c>
      <c r="AU583" s="109" t="s">
        <v>118</v>
      </c>
      <c r="AV583" s="100">
        <v>0</v>
      </c>
      <c r="AW583" s="105">
        <v>0</v>
      </c>
      <c r="AX583" s="216">
        <f t="shared" si="326"/>
        <v>1.0911870329030331</v>
      </c>
      <c r="AY583" s="217">
        <f t="shared" si="327"/>
        <v>35851</v>
      </c>
      <c r="AZ583" s="107"/>
      <c r="BA583" s="94">
        <v>45532.208333333336</v>
      </c>
      <c r="BB583" s="94">
        <v>45532.211805555555</v>
      </c>
      <c r="BC583" s="94">
        <v>45532.211805555555</v>
      </c>
      <c r="BD583" s="94">
        <v>45532.390972222223</v>
      </c>
      <c r="BE583" s="95">
        <f t="shared" si="328"/>
        <v>0.18263888888759539</v>
      </c>
      <c r="BF583" s="95">
        <v>0</v>
      </c>
      <c r="BG583" s="95">
        <v>4.791666666666667E-2</v>
      </c>
      <c r="BH583" s="95">
        <f t="shared" si="329"/>
        <v>3.4722222189884633E-3</v>
      </c>
      <c r="BI583" s="95">
        <f t="shared" si="329"/>
        <v>0</v>
      </c>
      <c r="BJ583" s="95">
        <f t="shared" si="329"/>
        <v>0.17916666666860692</v>
      </c>
      <c r="BK583" s="95">
        <f t="shared" si="330"/>
        <v>0.17916666666860692</v>
      </c>
      <c r="BL583" s="95">
        <f t="shared" si="331"/>
        <v>0.13125000000194026</v>
      </c>
      <c r="BM583" s="95" t="str">
        <f t="shared" si="332"/>
        <v>00:00</v>
      </c>
      <c r="BN583" s="110"/>
    </row>
    <row r="584" spans="1:66" s="8" customFormat="1" ht="12.75" customHeight="1" x14ac:dyDescent="0.25">
      <c r="A584" s="150">
        <v>529</v>
      </c>
      <c r="B584" s="150">
        <v>99</v>
      </c>
      <c r="C584" s="90">
        <v>16</v>
      </c>
      <c r="D584" s="111" t="s">
        <v>113</v>
      </c>
      <c r="E584" s="210" t="s">
        <v>711</v>
      </c>
      <c r="F584" s="150" t="s">
        <v>32</v>
      </c>
      <c r="G584" s="150" t="s">
        <v>8</v>
      </c>
      <c r="H584" s="150" t="s">
        <v>779</v>
      </c>
      <c r="I584" s="150" t="s">
        <v>780</v>
      </c>
      <c r="J584" s="151">
        <v>45531</v>
      </c>
      <c r="K584" s="135" t="s">
        <v>122</v>
      </c>
      <c r="L584" s="135">
        <v>281000236</v>
      </c>
      <c r="M584" s="151">
        <v>45533</v>
      </c>
      <c r="N584" s="152">
        <v>45532.416666666664</v>
      </c>
      <c r="O584" s="152">
        <v>45532.416666666664</v>
      </c>
      <c r="P584" s="152">
        <v>45532.420138888891</v>
      </c>
      <c r="Q584" s="152">
        <v>45532.625</v>
      </c>
      <c r="R584" s="152" t="s">
        <v>118</v>
      </c>
      <c r="S584" s="152" t="s">
        <v>118</v>
      </c>
      <c r="T584" s="152">
        <v>45532.677083333336</v>
      </c>
      <c r="U584" s="152">
        <v>45532.78125</v>
      </c>
      <c r="V584" s="219">
        <f t="shared" si="324"/>
        <v>0.20833333333575865</v>
      </c>
      <c r="W584" s="203">
        <v>0.20833333333333334</v>
      </c>
      <c r="X584" s="219">
        <f t="shared" si="325"/>
        <v>2.4253099528692701E-12</v>
      </c>
      <c r="Y584" s="96">
        <v>0</v>
      </c>
      <c r="Z584" s="96">
        <v>58</v>
      </c>
      <c r="AA584" s="96">
        <f t="shared" si="298"/>
        <v>58</v>
      </c>
      <c r="AB584" s="97">
        <f t="shared" si="299"/>
        <v>0</v>
      </c>
      <c r="AC584" s="97">
        <f t="shared" si="300"/>
        <v>4038.9</v>
      </c>
      <c r="AD584" s="98">
        <v>4038.9</v>
      </c>
      <c r="AE584" s="98">
        <v>4060</v>
      </c>
      <c r="AF584" s="98">
        <v>4071.8</v>
      </c>
      <c r="AG584" s="98">
        <f t="shared" si="301"/>
        <v>32.900000000000091</v>
      </c>
      <c r="AH584" s="99">
        <v>1435.6</v>
      </c>
      <c r="AI584" s="100">
        <f t="shared" si="302"/>
        <v>5845476.0800000001</v>
      </c>
      <c r="AJ584" s="100">
        <f>(0*AH584)*2</f>
        <v>0</v>
      </c>
      <c r="AK584" s="100">
        <v>0</v>
      </c>
      <c r="AL584" s="100">
        <v>24140</v>
      </c>
      <c r="AM584" s="100">
        <v>0</v>
      </c>
      <c r="AN584" s="100">
        <v>0</v>
      </c>
      <c r="AO584" s="100">
        <v>0</v>
      </c>
      <c r="AP584" s="100">
        <f t="shared" si="322"/>
        <v>293481</v>
      </c>
      <c r="AQ584" s="101">
        <f t="shared" si="323"/>
        <v>6163098</v>
      </c>
      <c r="AR584" s="101">
        <v>0</v>
      </c>
      <c r="AS584" s="101">
        <v>0</v>
      </c>
      <c r="AT584" s="102" t="s">
        <v>34</v>
      </c>
      <c r="AU584" s="109">
        <v>6</v>
      </c>
      <c r="AV584" s="100">
        <f>14.4-9.9</f>
        <v>4.5</v>
      </c>
      <c r="AW584" s="105">
        <v>0</v>
      </c>
      <c r="AX584" s="216">
        <f t="shared" si="326"/>
        <v>0.80799646348052678</v>
      </c>
      <c r="AY584" s="217">
        <f t="shared" si="327"/>
        <v>47232</v>
      </c>
      <c r="AZ584" s="107"/>
      <c r="BA584" s="94">
        <v>45532.416666666664</v>
      </c>
      <c r="BB584" s="94">
        <v>45532.420138888891</v>
      </c>
      <c r="BC584" s="94">
        <v>45532.4375</v>
      </c>
      <c r="BD584" s="94">
        <v>45532.581944444442</v>
      </c>
      <c r="BE584" s="95">
        <f t="shared" si="328"/>
        <v>0.16527777777810115</v>
      </c>
      <c r="BF584" s="95">
        <v>1.7361111111111112E-2</v>
      </c>
      <c r="BG584" s="95">
        <v>0</v>
      </c>
      <c r="BH584" s="95">
        <f t="shared" si="329"/>
        <v>3.4722222262644209E-3</v>
      </c>
      <c r="BI584" s="95">
        <f t="shared" si="329"/>
        <v>1.7361111109494232E-2</v>
      </c>
      <c r="BJ584" s="95">
        <f t="shared" si="329"/>
        <v>0.1444444444423425</v>
      </c>
      <c r="BK584" s="95">
        <f t="shared" si="330"/>
        <v>0.16180555555183673</v>
      </c>
      <c r="BL584" s="95">
        <f t="shared" si="331"/>
        <v>0.14444444444072563</v>
      </c>
      <c r="BM584" s="95" t="str">
        <f t="shared" si="332"/>
        <v>00:00</v>
      </c>
      <c r="BN584" s="110"/>
    </row>
    <row r="585" spans="1:66" s="8" customFormat="1" ht="12.75" customHeight="1" x14ac:dyDescent="0.25">
      <c r="A585" s="150">
        <v>530</v>
      </c>
      <c r="B585" s="150">
        <v>100</v>
      </c>
      <c r="C585" s="90">
        <v>6</v>
      </c>
      <c r="D585" s="111" t="s">
        <v>148</v>
      </c>
      <c r="E585" s="210" t="s">
        <v>766</v>
      </c>
      <c r="F585" s="150" t="s">
        <v>16</v>
      </c>
      <c r="G585" s="150" t="s">
        <v>17</v>
      </c>
      <c r="H585" s="150" t="s">
        <v>150</v>
      </c>
      <c r="I585" s="150" t="s">
        <v>781</v>
      </c>
      <c r="J585" s="151">
        <v>45527</v>
      </c>
      <c r="K585" s="135" t="s">
        <v>117</v>
      </c>
      <c r="L585" s="135">
        <v>461000450</v>
      </c>
      <c r="M585" s="151">
        <v>45533</v>
      </c>
      <c r="N585" s="152">
        <v>45532.645833333336</v>
      </c>
      <c r="O585" s="152">
        <v>45532.645833333336</v>
      </c>
      <c r="P585" s="152">
        <v>45532.652777777781</v>
      </c>
      <c r="Q585" s="152">
        <v>45532.854166666664</v>
      </c>
      <c r="R585" s="152" t="s">
        <v>118</v>
      </c>
      <c r="S585" s="152" t="s">
        <v>118</v>
      </c>
      <c r="T585" s="152">
        <v>45532.916666666664</v>
      </c>
      <c r="U585" s="152">
        <v>45533.003472222219</v>
      </c>
      <c r="V585" s="219">
        <f t="shared" si="324"/>
        <v>0.20833333332848269</v>
      </c>
      <c r="W585" s="203">
        <v>0.20833333333333334</v>
      </c>
      <c r="X585" s="219" t="str">
        <f t="shared" si="325"/>
        <v>00:00</v>
      </c>
      <c r="Y585" s="96">
        <v>12</v>
      </c>
      <c r="Z585" s="96">
        <v>46</v>
      </c>
      <c r="AA585" s="96">
        <f t="shared" si="298"/>
        <v>58</v>
      </c>
      <c r="AB585" s="97">
        <f t="shared" si="299"/>
        <v>804.25862068965523</v>
      </c>
      <c r="AC585" s="97">
        <f t="shared" si="300"/>
        <v>3082.9913793103451</v>
      </c>
      <c r="AD585" s="98">
        <v>3887.25</v>
      </c>
      <c r="AE585" s="98">
        <v>4033</v>
      </c>
      <c r="AF585" s="98">
        <v>4046</v>
      </c>
      <c r="AG585" s="98">
        <f t="shared" si="301"/>
        <v>158.75</v>
      </c>
      <c r="AH585" s="99">
        <v>672.5</v>
      </c>
      <c r="AI585" s="100">
        <f t="shared" si="302"/>
        <v>2720935</v>
      </c>
      <c r="AJ585" s="100">
        <f>(0*AH585)*2</f>
        <v>0</v>
      </c>
      <c r="AK585" s="100">
        <v>0</v>
      </c>
      <c r="AL585" s="100">
        <v>24140</v>
      </c>
      <c r="AM585" s="100">
        <v>0</v>
      </c>
      <c r="AN585" s="100">
        <v>0</v>
      </c>
      <c r="AO585" s="100">
        <v>0</v>
      </c>
      <c r="AP585" s="100">
        <f t="shared" si="322"/>
        <v>137254</v>
      </c>
      <c r="AQ585" s="101">
        <f t="shared" si="323"/>
        <v>2882329</v>
      </c>
      <c r="AR585" s="101">
        <v>0</v>
      </c>
      <c r="AS585" s="101">
        <v>0</v>
      </c>
      <c r="AT585" s="102" t="s">
        <v>34</v>
      </c>
      <c r="AU585" s="109">
        <v>13</v>
      </c>
      <c r="AV585" s="100">
        <f>38.1-10.1</f>
        <v>28</v>
      </c>
      <c r="AW585" s="105">
        <v>0</v>
      </c>
      <c r="AX585" s="216">
        <f t="shared" si="326"/>
        <v>3.9236282748393476</v>
      </c>
      <c r="AY585" s="217">
        <f t="shared" si="327"/>
        <v>106760</v>
      </c>
      <c r="AZ585" s="107"/>
      <c r="BA585" s="94">
        <v>45532.645833333336</v>
      </c>
      <c r="BB585" s="94">
        <v>45532.652777777781</v>
      </c>
      <c r="BC585" s="94">
        <v>45532.652777777781</v>
      </c>
      <c r="BD585" s="94">
        <v>45532.85833333333</v>
      </c>
      <c r="BE585" s="95">
        <f t="shared" si="328"/>
        <v>0.21249999999417923</v>
      </c>
      <c r="BF585" s="95">
        <v>3.5416666666666666E-2</v>
      </c>
      <c r="BG585" s="95">
        <v>1.1111111111111112E-2</v>
      </c>
      <c r="BH585" s="95">
        <f t="shared" si="329"/>
        <v>6.9444444452528842E-3</v>
      </c>
      <c r="BI585" s="95">
        <f t="shared" si="329"/>
        <v>0</v>
      </c>
      <c r="BJ585" s="95">
        <f t="shared" si="329"/>
        <v>0.20555555554892635</v>
      </c>
      <c r="BK585" s="95">
        <f t="shared" si="330"/>
        <v>0.20555555554892635</v>
      </c>
      <c r="BL585" s="95">
        <f t="shared" si="331"/>
        <v>0.1590277777711486</v>
      </c>
      <c r="BM585" s="95">
        <f t="shared" si="332"/>
        <v>4.1666666608458913E-3</v>
      </c>
      <c r="BN585" s="110"/>
    </row>
    <row r="586" spans="1:66" s="8" customFormat="1" ht="12.75" customHeight="1" x14ac:dyDescent="0.25">
      <c r="A586" s="150">
        <v>531</v>
      </c>
      <c r="B586" s="150">
        <v>101</v>
      </c>
      <c r="C586" s="90">
        <v>7</v>
      </c>
      <c r="D586" s="111" t="s">
        <v>148</v>
      </c>
      <c r="E586" s="210" t="s">
        <v>766</v>
      </c>
      <c r="F586" s="150" t="s">
        <v>16</v>
      </c>
      <c r="G586" s="150" t="s">
        <v>17</v>
      </c>
      <c r="H586" s="150" t="s">
        <v>150</v>
      </c>
      <c r="I586" s="150" t="s">
        <v>782</v>
      </c>
      <c r="J586" s="151">
        <v>45531</v>
      </c>
      <c r="K586" s="135" t="s">
        <v>122</v>
      </c>
      <c r="L586" s="135">
        <v>461000451</v>
      </c>
      <c r="M586" s="151">
        <v>45533</v>
      </c>
      <c r="N586" s="152">
        <v>45532.8125</v>
      </c>
      <c r="O586" s="152">
        <v>45532.8125</v>
      </c>
      <c r="P586" s="152">
        <v>45532.815972222219</v>
      </c>
      <c r="Q586" s="152">
        <v>45532.993055555555</v>
      </c>
      <c r="R586" s="152" t="s">
        <v>118</v>
      </c>
      <c r="S586" s="152">
        <v>45533.145833333336</v>
      </c>
      <c r="T586" s="152">
        <v>45533.152777777781</v>
      </c>
      <c r="U586" s="152">
        <v>45533.263888888891</v>
      </c>
      <c r="V586" s="219">
        <f t="shared" si="324"/>
        <v>0.18055555555474712</v>
      </c>
      <c r="W586" s="203">
        <v>0.20833333333333334</v>
      </c>
      <c r="X586" s="219" t="str">
        <f t="shared" si="325"/>
        <v>00:00</v>
      </c>
      <c r="Y586" s="96">
        <v>0</v>
      </c>
      <c r="Z586" s="96">
        <v>59</v>
      </c>
      <c r="AA586" s="96">
        <f t="shared" si="298"/>
        <v>59</v>
      </c>
      <c r="AB586" s="97">
        <f t="shared" si="299"/>
        <v>0</v>
      </c>
      <c r="AC586" s="97">
        <f t="shared" si="300"/>
        <v>4046.6400000000003</v>
      </c>
      <c r="AD586" s="98">
        <v>4046.64</v>
      </c>
      <c r="AE586" s="98">
        <v>4100.6000000000004</v>
      </c>
      <c r="AF586" s="98">
        <v>4109.8</v>
      </c>
      <c r="AG586" s="98">
        <f t="shared" si="301"/>
        <v>63.160000000000309</v>
      </c>
      <c r="AH586" s="99">
        <v>672.5</v>
      </c>
      <c r="AI586" s="100">
        <f t="shared" si="302"/>
        <v>2763840.5</v>
      </c>
      <c r="AJ586" s="100">
        <f>(0*AH586)*2</f>
        <v>0</v>
      </c>
      <c r="AK586" s="100">
        <v>0</v>
      </c>
      <c r="AL586" s="100">
        <v>24290</v>
      </c>
      <c r="AM586" s="100">
        <v>0</v>
      </c>
      <c r="AN586" s="100">
        <v>0</v>
      </c>
      <c r="AO586" s="100">
        <v>0</v>
      </c>
      <c r="AP586" s="100">
        <f t="shared" si="322"/>
        <v>139407</v>
      </c>
      <c r="AQ586" s="101">
        <f t="shared" si="323"/>
        <v>2927538</v>
      </c>
      <c r="AR586" s="101">
        <v>0</v>
      </c>
      <c r="AS586" s="101">
        <v>0</v>
      </c>
      <c r="AT586" s="102" t="s">
        <v>33</v>
      </c>
      <c r="AU586" s="109">
        <v>2</v>
      </c>
      <c r="AV586" s="100">
        <f>10.41-8.41</f>
        <v>2</v>
      </c>
      <c r="AW586" s="105">
        <v>3</v>
      </c>
      <c r="AX586" s="216">
        <f t="shared" si="326"/>
        <v>1.5368144435252398</v>
      </c>
      <c r="AY586" s="217">
        <f t="shared" si="327"/>
        <v>42476</v>
      </c>
      <c r="AZ586" s="107"/>
      <c r="BA586" s="94">
        <v>45532.8125</v>
      </c>
      <c r="BB586" s="94">
        <v>45532.815972222219</v>
      </c>
      <c r="BC586" s="94">
        <v>45532.885416666664</v>
      </c>
      <c r="BD586" s="94">
        <v>45533.135416666664</v>
      </c>
      <c r="BE586" s="95">
        <f t="shared" si="328"/>
        <v>0.32291666666424135</v>
      </c>
      <c r="BF586" s="95">
        <v>9.375E-2</v>
      </c>
      <c r="BG586" s="95">
        <v>7.013888888888889E-2</v>
      </c>
      <c r="BH586" s="95">
        <f t="shared" si="329"/>
        <v>3.4722222189884633E-3</v>
      </c>
      <c r="BI586" s="95">
        <f t="shared" si="329"/>
        <v>6.9444444445252884E-2</v>
      </c>
      <c r="BJ586" s="95">
        <f t="shared" si="329"/>
        <v>0.25</v>
      </c>
      <c r="BK586" s="95">
        <f t="shared" si="330"/>
        <v>0.31944444444525288</v>
      </c>
      <c r="BL586" s="95">
        <f t="shared" si="331"/>
        <v>0.15555555555636399</v>
      </c>
      <c r="BM586" s="95">
        <f t="shared" si="332"/>
        <v>0.114583333330908</v>
      </c>
      <c r="BN586" s="110"/>
    </row>
    <row r="587" spans="1:66" s="8" customFormat="1" ht="12.75" customHeight="1" x14ac:dyDescent="0.25">
      <c r="A587" s="150">
        <v>532</v>
      </c>
      <c r="B587" s="150">
        <v>102</v>
      </c>
      <c r="C587" s="90">
        <v>17</v>
      </c>
      <c r="D587" s="111" t="s">
        <v>113</v>
      </c>
      <c r="E587" s="210" t="s">
        <v>711</v>
      </c>
      <c r="F587" s="150" t="s">
        <v>32</v>
      </c>
      <c r="G587" s="150" t="s">
        <v>8</v>
      </c>
      <c r="H587" s="150" t="s">
        <v>783</v>
      </c>
      <c r="I587" s="150" t="s">
        <v>784</v>
      </c>
      <c r="J587" s="151">
        <v>45532</v>
      </c>
      <c r="K587" s="135" t="s">
        <v>117</v>
      </c>
      <c r="L587" s="135">
        <v>281000237</v>
      </c>
      <c r="M587" s="151">
        <v>45533</v>
      </c>
      <c r="N587" s="152">
        <v>45533.0625</v>
      </c>
      <c r="O587" s="152">
        <v>45533.0625</v>
      </c>
      <c r="P587" s="152">
        <v>45533.065972222219</v>
      </c>
      <c r="Q587" s="152">
        <v>45533.270833333336</v>
      </c>
      <c r="R587" s="152" t="s">
        <v>118</v>
      </c>
      <c r="S587" s="152">
        <v>45533.333333333336</v>
      </c>
      <c r="T587" s="152">
        <v>45533.270833333336</v>
      </c>
      <c r="U587" s="152">
        <v>45533.435416666667</v>
      </c>
      <c r="V587" s="219">
        <f t="shared" si="324"/>
        <v>0.20833333333575865</v>
      </c>
      <c r="W587" s="203">
        <v>0.20833333333333334</v>
      </c>
      <c r="X587" s="219">
        <f t="shared" si="325"/>
        <v>2.4253099528692701E-12</v>
      </c>
      <c r="Y587" s="96">
        <v>0</v>
      </c>
      <c r="Z587" s="96">
        <v>59</v>
      </c>
      <c r="AA587" s="96">
        <f t="shared" si="298"/>
        <v>59</v>
      </c>
      <c r="AB587" s="97">
        <f t="shared" si="299"/>
        <v>0</v>
      </c>
      <c r="AC587" s="97">
        <f t="shared" si="300"/>
        <v>4022.64</v>
      </c>
      <c r="AD587" s="98">
        <v>4022.64</v>
      </c>
      <c r="AE587" s="98">
        <v>4103</v>
      </c>
      <c r="AF587" s="98">
        <v>4107.2</v>
      </c>
      <c r="AG587" s="98">
        <f t="shared" si="301"/>
        <v>84.559999999999945</v>
      </c>
      <c r="AH587" s="99">
        <v>1228</v>
      </c>
      <c r="AI587" s="100">
        <f t="shared" si="302"/>
        <v>5043641.5999999996</v>
      </c>
      <c r="AJ587" s="100">
        <f>(0.4*AH587)*2</f>
        <v>982.40000000000009</v>
      </c>
      <c r="AK587" s="100">
        <v>0</v>
      </c>
      <c r="AL587" s="100">
        <v>0</v>
      </c>
      <c r="AM587" s="100">
        <v>0</v>
      </c>
      <c r="AN587" s="100">
        <v>0</v>
      </c>
      <c r="AO587" s="100">
        <v>0</v>
      </c>
      <c r="AP587" s="100">
        <f t="shared" si="322"/>
        <v>252232</v>
      </c>
      <c r="AQ587" s="101">
        <f t="shared" si="323"/>
        <v>5296856</v>
      </c>
      <c r="AR587" s="101">
        <v>0</v>
      </c>
      <c r="AS587" s="101">
        <v>0</v>
      </c>
      <c r="AT587" s="102" t="s">
        <v>33</v>
      </c>
      <c r="AU587" s="109" t="s">
        <v>118</v>
      </c>
      <c r="AV587" s="100">
        <v>0</v>
      </c>
      <c r="AW587" s="105">
        <v>2</v>
      </c>
      <c r="AX587" s="216">
        <f t="shared" si="326"/>
        <v>2.0588235294117636</v>
      </c>
      <c r="AY587" s="217">
        <f t="shared" si="327"/>
        <v>103840</v>
      </c>
      <c r="AZ587" s="107"/>
      <c r="BA587" s="94">
        <v>45533.0625</v>
      </c>
      <c r="BB587" s="94">
        <v>45533.065972222219</v>
      </c>
      <c r="BC587" s="94">
        <v>45533.173611111109</v>
      </c>
      <c r="BD587" s="94">
        <v>45533.32708333333</v>
      </c>
      <c r="BE587" s="95">
        <f t="shared" si="328"/>
        <v>0.26458333332993789</v>
      </c>
      <c r="BF587" s="95">
        <v>1.3888888888888888E-2</v>
      </c>
      <c r="BG587" s="95">
        <v>0.1076388888888889</v>
      </c>
      <c r="BH587" s="95">
        <f t="shared" si="329"/>
        <v>3.4722222189884633E-3</v>
      </c>
      <c r="BI587" s="95">
        <f t="shared" si="329"/>
        <v>0.10763888889050577</v>
      </c>
      <c r="BJ587" s="95">
        <f t="shared" si="329"/>
        <v>0.15347222222044365</v>
      </c>
      <c r="BK587" s="95">
        <f t="shared" si="330"/>
        <v>0.26111111111094942</v>
      </c>
      <c r="BL587" s="95">
        <f t="shared" si="331"/>
        <v>0.13958333333317163</v>
      </c>
      <c r="BM587" s="95">
        <f t="shared" si="332"/>
        <v>5.6249999996604544E-2</v>
      </c>
      <c r="BN587" s="110"/>
    </row>
    <row r="588" spans="1:66" s="8" customFormat="1" ht="12.75" customHeight="1" x14ac:dyDescent="0.25">
      <c r="A588" s="150">
        <v>533</v>
      </c>
      <c r="B588" s="150">
        <v>103</v>
      </c>
      <c r="C588" s="90">
        <v>3</v>
      </c>
      <c r="D588" s="111" t="s">
        <v>113</v>
      </c>
      <c r="E588" s="210" t="s">
        <v>771</v>
      </c>
      <c r="F588" s="150" t="s">
        <v>27</v>
      </c>
      <c r="G588" s="150" t="s">
        <v>12</v>
      </c>
      <c r="H588" s="150" t="s">
        <v>115</v>
      </c>
      <c r="I588" s="150" t="s">
        <v>785</v>
      </c>
      <c r="J588" s="151">
        <v>45532</v>
      </c>
      <c r="K588" s="135" t="s">
        <v>122</v>
      </c>
      <c r="L588" s="135">
        <v>282001011</v>
      </c>
      <c r="M588" s="151">
        <v>45534</v>
      </c>
      <c r="N588" s="152">
        <v>45533.354166666664</v>
      </c>
      <c r="O588" s="152">
        <v>45533.354166666664</v>
      </c>
      <c r="P588" s="152">
        <v>45533.357638888891</v>
      </c>
      <c r="Q588" s="152">
        <v>45533.5625</v>
      </c>
      <c r="R588" s="152" t="s">
        <v>118</v>
      </c>
      <c r="S588" s="152">
        <v>45533.59375</v>
      </c>
      <c r="T588" s="152">
        <v>45533.621527777781</v>
      </c>
      <c r="U588" s="152">
        <v>45533.725694444445</v>
      </c>
      <c r="V588" s="219">
        <f t="shared" si="324"/>
        <v>0.20833333333575865</v>
      </c>
      <c r="W588" s="203">
        <v>0.20833333333333334</v>
      </c>
      <c r="X588" s="219">
        <f t="shared" si="325"/>
        <v>2.4253099528692701E-12</v>
      </c>
      <c r="Y588" s="96">
        <v>0</v>
      </c>
      <c r="Z588" s="96">
        <v>58</v>
      </c>
      <c r="AA588" s="96">
        <f t="shared" si="298"/>
        <v>58</v>
      </c>
      <c r="AB588" s="97">
        <f t="shared" si="299"/>
        <v>0</v>
      </c>
      <c r="AC588" s="97">
        <f t="shared" si="300"/>
        <v>3948.87</v>
      </c>
      <c r="AD588" s="98">
        <v>3948.87</v>
      </c>
      <c r="AE588" s="98">
        <v>4001.5</v>
      </c>
      <c r="AF588" s="98">
        <v>4014.8</v>
      </c>
      <c r="AG588" s="98">
        <f t="shared" si="301"/>
        <v>65.930000000000291</v>
      </c>
      <c r="AH588" s="99">
        <v>1586.7</v>
      </c>
      <c r="AI588" s="100">
        <f t="shared" si="302"/>
        <v>6370283.1600000001</v>
      </c>
      <c r="AJ588" s="100">
        <f>(0*AH588)*2</f>
        <v>0</v>
      </c>
      <c r="AK588" s="100">
        <v>0</v>
      </c>
      <c r="AL588" s="100">
        <v>24140</v>
      </c>
      <c r="AM588" s="100">
        <v>0</v>
      </c>
      <c r="AN588" s="100">
        <v>0</v>
      </c>
      <c r="AO588" s="100">
        <f>IFERROR(AF588*20+(((AJ588/AH588)/2)*20),0)</f>
        <v>80296</v>
      </c>
      <c r="AP588" s="100">
        <f t="shared" si="322"/>
        <v>323736</v>
      </c>
      <c r="AQ588" s="101">
        <f t="shared" si="323"/>
        <v>6798456</v>
      </c>
      <c r="AR588" s="101">
        <v>0</v>
      </c>
      <c r="AS588" s="101">
        <v>0</v>
      </c>
      <c r="AT588" s="102" t="s">
        <v>34</v>
      </c>
      <c r="AU588" s="109">
        <v>9</v>
      </c>
      <c r="AV588" s="100">
        <f>24.04-11.54</f>
        <v>12.5</v>
      </c>
      <c r="AW588" s="105">
        <v>1</v>
      </c>
      <c r="AX588" s="216">
        <f t="shared" si="326"/>
        <v>1.6421739563614697</v>
      </c>
      <c r="AY588" s="217">
        <f t="shared" si="327"/>
        <v>104612</v>
      </c>
      <c r="AZ588" s="107"/>
      <c r="BA588" s="94">
        <v>45533.354166666664</v>
      </c>
      <c r="BB588" s="94">
        <v>45533.364583333336</v>
      </c>
      <c r="BC588" s="94">
        <v>45533.414583333331</v>
      </c>
      <c r="BD588" s="94">
        <v>45533.57916666667</v>
      </c>
      <c r="BE588" s="95">
        <f t="shared" si="328"/>
        <v>0.22500000000582077</v>
      </c>
      <c r="BF588" s="95">
        <v>1.2500000000000001E-2</v>
      </c>
      <c r="BG588" s="95">
        <v>7.1527777777777773E-2</v>
      </c>
      <c r="BH588" s="95">
        <f t="shared" si="329"/>
        <v>1.0416666671517305E-2</v>
      </c>
      <c r="BI588" s="95">
        <f t="shared" si="329"/>
        <v>4.9999999995634425E-2</v>
      </c>
      <c r="BJ588" s="95">
        <f t="shared" si="329"/>
        <v>0.16458333333866904</v>
      </c>
      <c r="BK588" s="95">
        <f t="shared" si="330"/>
        <v>0.21458333333430346</v>
      </c>
      <c r="BL588" s="95">
        <f t="shared" si="331"/>
        <v>0.13055555555652568</v>
      </c>
      <c r="BM588" s="95">
        <f t="shared" si="332"/>
        <v>1.6666666672487424E-2</v>
      </c>
      <c r="BN588" s="110"/>
    </row>
    <row r="589" spans="1:66" s="8" customFormat="1" ht="12.75" customHeight="1" x14ac:dyDescent="0.25">
      <c r="A589" s="150">
        <v>534</v>
      </c>
      <c r="B589" s="150">
        <v>104</v>
      </c>
      <c r="C589" s="90">
        <v>8</v>
      </c>
      <c r="D589" s="111" t="s">
        <v>148</v>
      </c>
      <c r="E589" s="210" t="s">
        <v>766</v>
      </c>
      <c r="F589" s="150" t="s">
        <v>16</v>
      </c>
      <c r="G589" s="150" t="s">
        <v>17</v>
      </c>
      <c r="H589" s="150" t="s">
        <v>150</v>
      </c>
      <c r="I589" s="150" t="s">
        <v>786</v>
      </c>
      <c r="J589" s="151">
        <v>45531</v>
      </c>
      <c r="K589" s="135" t="s">
        <v>117</v>
      </c>
      <c r="L589" s="135">
        <v>461000452</v>
      </c>
      <c r="M589" s="151">
        <v>45534</v>
      </c>
      <c r="N589" s="152">
        <v>45533.5625</v>
      </c>
      <c r="O589" s="152">
        <v>45533.5625</v>
      </c>
      <c r="P589" s="152">
        <v>45533.565972222219</v>
      </c>
      <c r="Q589" s="152">
        <v>45533.770833333336</v>
      </c>
      <c r="R589" s="152" t="s">
        <v>118</v>
      </c>
      <c r="S589" s="152" t="s">
        <v>118</v>
      </c>
      <c r="T589" s="152">
        <v>45533.861111111109</v>
      </c>
      <c r="U589" s="152">
        <v>45534.069444444445</v>
      </c>
      <c r="V589" s="219">
        <f t="shared" si="324"/>
        <v>0.20833333333575865</v>
      </c>
      <c r="W589" s="203">
        <v>0.20833333333333334</v>
      </c>
      <c r="X589" s="219">
        <f t="shared" si="325"/>
        <v>2.4253099528692701E-12</v>
      </c>
      <c r="Y589" s="96">
        <v>0</v>
      </c>
      <c r="Z589" s="96">
        <v>58</v>
      </c>
      <c r="AA589" s="96">
        <f t="shared" si="298"/>
        <v>58</v>
      </c>
      <c r="AB589" s="97">
        <f t="shared" si="299"/>
        <v>0</v>
      </c>
      <c r="AC589" s="97">
        <f t="shared" si="300"/>
        <v>4092.7</v>
      </c>
      <c r="AD589" s="98">
        <v>4092.7</v>
      </c>
      <c r="AE589" s="98">
        <v>4060</v>
      </c>
      <c r="AF589" s="98">
        <v>4108</v>
      </c>
      <c r="AG589" s="98">
        <f t="shared" si="301"/>
        <v>15.300000000000182</v>
      </c>
      <c r="AH589" s="99">
        <v>672.5</v>
      </c>
      <c r="AI589" s="100">
        <f t="shared" si="302"/>
        <v>2762630</v>
      </c>
      <c r="AJ589" s="100">
        <f>(0*AH589)*2</f>
        <v>0</v>
      </c>
      <c r="AK589" s="100">
        <v>0</v>
      </c>
      <c r="AL589" s="100">
        <v>48280</v>
      </c>
      <c r="AM589" s="100">
        <v>0</v>
      </c>
      <c r="AN589" s="100">
        <v>0</v>
      </c>
      <c r="AO589" s="100">
        <v>0</v>
      </c>
      <c r="AP589" s="100">
        <f t="shared" si="322"/>
        <v>140546</v>
      </c>
      <c r="AQ589" s="101">
        <f t="shared" si="323"/>
        <v>2951456</v>
      </c>
      <c r="AR589" s="101">
        <v>0</v>
      </c>
      <c r="AS589" s="101">
        <v>0</v>
      </c>
      <c r="AT589" s="102" t="s">
        <v>34</v>
      </c>
      <c r="AU589" s="109">
        <v>43</v>
      </c>
      <c r="AV589" s="100">
        <f>111.8-39.3</f>
        <v>72.5</v>
      </c>
      <c r="AW589" s="105">
        <v>2</v>
      </c>
      <c r="AX589" s="216">
        <f t="shared" si="326"/>
        <v>0.37244401168452246</v>
      </c>
      <c r="AY589" s="217">
        <f t="shared" si="327"/>
        <v>10290</v>
      </c>
      <c r="AZ589" s="107"/>
      <c r="BA589" s="94">
        <v>45533.5625</v>
      </c>
      <c r="BB589" s="94">
        <v>45533.565972222219</v>
      </c>
      <c r="BC589" s="94">
        <v>45533.670138888891</v>
      </c>
      <c r="BD589" s="94">
        <v>45533.847222222219</v>
      </c>
      <c r="BE589" s="95">
        <f t="shared" si="328"/>
        <v>0.28472222221898846</v>
      </c>
      <c r="BF589" s="95">
        <v>9.583333333333334E-2</v>
      </c>
      <c r="BG589" s="95">
        <v>3.8194444444444448E-2</v>
      </c>
      <c r="BH589" s="95">
        <f t="shared" si="329"/>
        <v>3.4722222189884633E-3</v>
      </c>
      <c r="BI589" s="95">
        <f t="shared" si="329"/>
        <v>0.10416666667151731</v>
      </c>
      <c r="BJ589" s="95">
        <f t="shared" si="329"/>
        <v>0.17708333332848269</v>
      </c>
      <c r="BK589" s="95">
        <f t="shared" si="330"/>
        <v>0.28125</v>
      </c>
      <c r="BL589" s="95">
        <f t="shared" si="331"/>
        <v>0.14722222222222223</v>
      </c>
      <c r="BM589" s="95">
        <f t="shared" si="332"/>
        <v>7.6388888885655121E-2</v>
      </c>
      <c r="BN589" s="110"/>
    </row>
    <row r="590" spans="1:66" s="8" customFormat="1" ht="12.75" customHeight="1" x14ac:dyDescent="0.25">
      <c r="A590" s="150">
        <v>535</v>
      </c>
      <c r="B590" s="150">
        <v>105</v>
      </c>
      <c r="C590" s="90">
        <v>9</v>
      </c>
      <c r="D590" s="111" t="s">
        <v>148</v>
      </c>
      <c r="E590" s="210" t="s">
        <v>766</v>
      </c>
      <c r="F590" s="150" t="s">
        <v>16</v>
      </c>
      <c r="G590" s="150" t="s">
        <v>17</v>
      </c>
      <c r="H590" s="150" t="s">
        <v>150</v>
      </c>
      <c r="I590" s="150" t="s">
        <v>787</v>
      </c>
      <c r="J590" s="151">
        <v>45531</v>
      </c>
      <c r="K590" s="135" t="s">
        <v>122</v>
      </c>
      <c r="L590" s="135">
        <v>461000453</v>
      </c>
      <c r="M590" s="151">
        <v>45534</v>
      </c>
      <c r="N590" s="152">
        <v>45533.791666666664</v>
      </c>
      <c r="O590" s="152">
        <v>45533.791666666664</v>
      </c>
      <c r="P590" s="152">
        <v>45533.795138888891</v>
      </c>
      <c r="Q590" s="152">
        <v>45533.989583333336</v>
      </c>
      <c r="R590" s="152" t="s">
        <v>118</v>
      </c>
      <c r="S590" s="152">
        <v>45534.03125</v>
      </c>
      <c r="T590" s="152">
        <v>45534.041666666664</v>
      </c>
      <c r="U590" s="152">
        <v>45534.206250000003</v>
      </c>
      <c r="V590" s="219">
        <f t="shared" si="324"/>
        <v>0.19791666667151731</v>
      </c>
      <c r="W590" s="203">
        <v>0.20833333333333334</v>
      </c>
      <c r="X590" s="219" t="str">
        <f t="shared" si="325"/>
        <v>00:00</v>
      </c>
      <c r="Y590" s="96">
        <v>0</v>
      </c>
      <c r="Z590" s="96">
        <v>58</v>
      </c>
      <c r="AA590" s="96">
        <f t="shared" si="298"/>
        <v>58</v>
      </c>
      <c r="AB590" s="97">
        <f t="shared" si="299"/>
        <v>0</v>
      </c>
      <c r="AC590" s="97">
        <f t="shared" si="300"/>
        <v>3971.56</v>
      </c>
      <c r="AD590" s="98">
        <v>3971.56</v>
      </c>
      <c r="AE590" s="98">
        <v>4007.5</v>
      </c>
      <c r="AF590" s="98">
        <v>4017.2</v>
      </c>
      <c r="AG590" s="98">
        <f t="shared" si="301"/>
        <v>45.639999999999873</v>
      </c>
      <c r="AH590" s="99">
        <v>672.5</v>
      </c>
      <c r="AI590" s="100">
        <f t="shared" si="302"/>
        <v>2701567</v>
      </c>
      <c r="AJ590" s="100">
        <f>(0.6*AH590)*2</f>
        <v>807</v>
      </c>
      <c r="AK590" s="100">
        <v>0</v>
      </c>
      <c r="AL590" s="100">
        <v>0</v>
      </c>
      <c r="AM590" s="100">
        <v>0</v>
      </c>
      <c r="AN590" s="100">
        <v>0</v>
      </c>
      <c r="AO590" s="100">
        <v>0</v>
      </c>
      <c r="AP590" s="100">
        <f t="shared" si="322"/>
        <v>135119</v>
      </c>
      <c r="AQ590" s="101">
        <f t="shared" si="323"/>
        <v>2837493</v>
      </c>
      <c r="AR590" s="101">
        <v>0</v>
      </c>
      <c r="AS590" s="101">
        <v>0</v>
      </c>
      <c r="AT590" s="102" t="s">
        <v>34</v>
      </c>
      <c r="AU590" s="109" t="s">
        <v>118</v>
      </c>
      <c r="AV590" s="100">
        <v>0</v>
      </c>
      <c r="AW590" s="105">
        <v>1</v>
      </c>
      <c r="AX590" s="216">
        <f t="shared" si="326"/>
        <v>1.1361147067609247</v>
      </c>
      <c r="AY590" s="217">
        <f t="shared" si="327"/>
        <v>30693</v>
      </c>
      <c r="AZ590" s="107"/>
      <c r="BA590" s="94">
        <v>45533.791666666664</v>
      </c>
      <c r="BB590" s="94">
        <v>45533.795138888891</v>
      </c>
      <c r="BC590" s="94">
        <v>45533.857638888891</v>
      </c>
      <c r="BD590" s="94">
        <v>45534.022916666669</v>
      </c>
      <c r="BE590" s="95">
        <f t="shared" si="328"/>
        <v>0.23125000000436557</v>
      </c>
      <c r="BF590" s="95">
        <v>1.6666666666666666E-2</v>
      </c>
      <c r="BG590" s="95">
        <v>5.2083333333333336E-2</v>
      </c>
      <c r="BH590" s="95">
        <f t="shared" si="329"/>
        <v>3.4722222262644209E-3</v>
      </c>
      <c r="BI590" s="95">
        <f t="shared" si="329"/>
        <v>6.25E-2</v>
      </c>
      <c r="BJ590" s="95">
        <f t="shared" si="329"/>
        <v>0.16527777777810115</v>
      </c>
      <c r="BK590" s="95">
        <f t="shared" si="330"/>
        <v>0.22777777777810115</v>
      </c>
      <c r="BL590" s="95">
        <f t="shared" si="331"/>
        <v>0.15902777777810115</v>
      </c>
      <c r="BM590" s="95">
        <f t="shared" si="332"/>
        <v>2.2916666671032232E-2</v>
      </c>
      <c r="BN590" s="110"/>
    </row>
    <row r="591" spans="1:66" s="8" customFormat="1" ht="12.75" customHeight="1" x14ac:dyDescent="0.25">
      <c r="A591" s="150">
        <v>536</v>
      </c>
      <c r="B591" s="150">
        <v>106</v>
      </c>
      <c r="C591" s="90">
        <v>4</v>
      </c>
      <c r="D591" s="111" t="s">
        <v>113</v>
      </c>
      <c r="E591" s="210" t="s">
        <v>759</v>
      </c>
      <c r="F591" s="150" t="s">
        <v>29</v>
      </c>
      <c r="G591" s="150" t="s">
        <v>8</v>
      </c>
      <c r="H591" s="150" t="s">
        <v>124</v>
      </c>
      <c r="I591" s="150" t="s">
        <v>788</v>
      </c>
      <c r="J591" s="151">
        <v>45533</v>
      </c>
      <c r="K591" s="135" t="s">
        <v>117</v>
      </c>
      <c r="L591" s="135">
        <v>461000454</v>
      </c>
      <c r="M591" s="151">
        <v>45534</v>
      </c>
      <c r="N591" s="152">
        <v>45534.104166666664</v>
      </c>
      <c r="O591" s="152">
        <v>45534.104166666664</v>
      </c>
      <c r="P591" s="152">
        <v>45534.114583333336</v>
      </c>
      <c r="Q591" s="152">
        <v>45534.291666666664</v>
      </c>
      <c r="R591" s="152" t="s">
        <v>118</v>
      </c>
      <c r="S591" s="152" t="s">
        <v>118</v>
      </c>
      <c r="T591" s="152">
        <v>45534.354166666664</v>
      </c>
      <c r="U591" s="152">
        <v>45534.406944444447</v>
      </c>
      <c r="V591" s="219">
        <f t="shared" si="324"/>
        <v>0.1875</v>
      </c>
      <c r="W591" s="203">
        <v>0.20833333333333334</v>
      </c>
      <c r="X591" s="219" t="str">
        <f t="shared" si="325"/>
        <v>00:00</v>
      </c>
      <c r="Y591" s="96">
        <v>0</v>
      </c>
      <c r="Z591" s="96">
        <v>58</v>
      </c>
      <c r="AA591" s="96">
        <f t="shared" si="298"/>
        <v>58</v>
      </c>
      <c r="AB591" s="97">
        <f t="shared" si="299"/>
        <v>0</v>
      </c>
      <c r="AC591" s="97">
        <f t="shared" si="300"/>
        <v>3947.9</v>
      </c>
      <c r="AD591" s="98">
        <v>3947.9</v>
      </c>
      <c r="AE591" s="98">
        <v>4032.3</v>
      </c>
      <c r="AF591" s="98">
        <v>4032.6</v>
      </c>
      <c r="AG591" s="98">
        <f t="shared" si="301"/>
        <v>84.699999999999818</v>
      </c>
      <c r="AH591" s="99">
        <v>797.2</v>
      </c>
      <c r="AI591" s="100">
        <f t="shared" si="302"/>
        <v>3214788.72</v>
      </c>
      <c r="AJ591" s="100">
        <f>(0*AH591)*2</f>
        <v>0</v>
      </c>
      <c r="AK591" s="100">
        <v>0</v>
      </c>
      <c r="AL591" s="100">
        <v>0</v>
      </c>
      <c r="AM591" s="100">
        <v>0</v>
      </c>
      <c r="AN591" s="100">
        <v>0</v>
      </c>
      <c r="AO591" s="100">
        <v>0</v>
      </c>
      <c r="AP591" s="100">
        <f t="shared" si="322"/>
        <v>160740</v>
      </c>
      <c r="AQ591" s="101">
        <f t="shared" si="323"/>
        <v>3375529</v>
      </c>
      <c r="AR591" s="101">
        <v>0</v>
      </c>
      <c r="AS591" s="101">
        <v>0</v>
      </c>
      <c r="AT591" s="102" t="s">
        <v>34</v>
      </c>
      <c r="AU591" s="109" t="s">
        <v>118</v>
      </c>
      <c r="AV591" s="100">
        <v>0</v>
      </c>
      <c r="AW591" s="105">
        <v>0</v>
      </c>
      <c r="AX591" s="216">
        <f t="shared" si="326"/>
        <v>2.1003818876159257</v>
      </c>
      <c r="AY591" s="217">
        <f t="shared" si="327"/>
        <v>67523</v>
      </c>
      <c r="AZ591" s="107"/>
      <c r="BA591" s="94">
        <v>45534.104166666664</v>
      </c>
      <c r="BB591" s="94">
        <v>45534.114583333336</v>
      </c>
      <c r="BC591" s="94">
        <v>45534.114583333336</v>
      </c>
      <c r="BD591" s="94">
        <v>45534.246527777781</v>
      </c>
      <c r="BE591" s="95">
        <f t="shared" si="328"/>
        <v>0.14236111111677019</v>
      </c>
      <c r="BF591" s="95">
        <v>1.3888888888888889E-3</v>
      </c>
      <c r="BG591" s="95">
        <v>8.3333333333333332E-3</v>
      </c>
      <c r="BH591" s="95">
        <f t="shared" si="329"/>
        <v>1.0416666671517305E-2</v>
      </c>
      <c r="BI591" s="95">
        <f t="shared" si="329"/>
        <v>0</v>
      </c>
      <c r="BJ591" s="95">
        <f t="shared" si="329"/>
        <v>0.13194444444525288</v>
      </c>
      <c r="BK591" s="95">
        <f t="shared" si="330"/>
        <v>0.13194444444525288</v>
      </c>
      <c r="BL591" s="95">
        <f t="shared" si="331"/>
        <v>0.12222222222303067</v>
      </c>
      <c r="BM591" s="95" t="str">
        <f t="shared" si="332"/>
        <v>00:00</v>
      </c>
      <c r="BN591" s="110"/>
    </row>
    <row r="592" spans="1:66" s="8" customFormat="1" ht="12.75" customHeight="1" x14ac:dyDescent="0.25">
      <c r="A592" s="150">
        <v>537</v>
      </c>
      <c r="B592" s="150">
        <v>107</v>
      </c>
      <c r="C592" s="90">
        <v>18</v>
      </c>
      <c r="D592" s="111" t="s">
        <v>113</v>
      </c>
      <c r="E592" s="210" t="s">
        <v>711</v>
      </c>
      <c r="F592" s="150" t="s">
        <v>32</v>
      </c>
      <c r="G592" s="150" t="s">
        <v>8</v>
      </c>
      <c r="H592" s="150" t="s">
        <v>127</v>
      </c>
      <c r="I592" s="150" t="s">
        <v>789</v>
      </c>
      <c r="J592" s="151">
        <v>45533</v>
      </c>
      <c r="K592" s="135" t="s">
        <v>122</v>
      </c>
      <c r="L592" s="135">
        <v>262010134</v>
      </c>
      <c r="M592" s="151">
        <v>45534</v>
      </c>
      <c r="N592" s="152">
        <v>45534.25</v>
      </c>
      <c r="O592" s="152">
        <v>45534.25</v>
      </c>
      <c r="P592" s="152">
        <v>45534.260416666664</v>
      </c>
      <c r="Q592" s="152">
        <v>45534.458333333336</v>
      </c>
      <c r="R592" s="152" t="s">
        <v>118</v>
      </c>
      <c r="S592" s="152" t="s">
        <v>118</v>
      </c>
      <c r="T592" s="152">
        <v>45534.53125</v>
      </c>
      <c r="U592" s="152">
        <v>45534.651388888888</v>
      </c>
      <c r="V592" s="219">
        <f t="shared" si="324"/>
        <v>0.20833333333575865</v>
      </c>
      <c r="W592" s="203">
        <v>0.20833333333333334</v>
      </c>
      <c r="X592" s="219">
        <f t="shared" si="325"/>
        <v>2.4253099528692701E-12</v>
      </c>
      <c r="Y592" s="96">
        <v>0</v>
      </c>
      <c r="Z592" s="96">
        <v>59</v>
      </c>
      <c r="AA592" s="96">
        <f t="shared" si="298"/>
        <v>59</v>
      </c>
      <c r="AB592" s="97">
        <f t="shared" si="299"/>
        <v>0</v>
      </c>
      <c r="AC592" s="97">
        <f t="shared" si="300"/>
        <v>4056.9199999999996</v>
      </c>
      <c r="AD592" s="98">
        <v>4056.92</v>
      </c>
      <c r="AE592" s="98">
        <v>4110.3999999999996</v>
      </c>
      <c r="AF592" s="98">
        <v>4117.6000000000004</v>
      </c>
      <c r="AG592" s="98">
        <f t="shared" si="301"/>
        <v>60.680000000000291</v>
      </c>
      <c r="AH592" s="99">
        <v>1484</v>
      </c>
      <c r="AI592" s="100">
        <f t="shared" si="302"/>
        <v>6110518.4000000004</v>
      </c>
      <c r="AJ592" s="100">
        <f>(0.6*AH592)*2</f>
        <v>1780.8</v>
      </c>
      <c r="AK592" s="100">
        <v>0</v>
      </c>
      <c r="AL592" s="100">
        <v>0</v>
      </c>
      <c r="AM592" s="100">
        <v>0</v>
      </c>
      <c r="AN592" s="100">
        <v>0</v>
      </c>
      <c r="AO592" s="100">
        <v>0</v>
      </c>
      <c r="AP592" s="100">
        <f t="shared" si="322"/>
        <v>305615</v>
      </c>
      <c r="AQ592" s="101">
        <f t="shared" si="323"/>
        <v>6417915</v>
      </c>
      <c r="AR592" s="101">
        <v>0</v>
      </c>
      <c r="AS592" s="101">
        <v>0</v>
      </c>
      <c r="AT592" s="102" t="s">
        <v>33</v>
      </c>
      <c r="AU592" s="109" t="s">
        <v>118</v>
      </c>
      <c r="AV592" s="100">
        <v>0</v>
      </c>
      <c r="AW592" s="105">
        <v>0</v>
      </c>
      <c r="AX592" s="216">
        <f t="shared" si="326"/>
        <v>1.473673984845548</v>
      </c>
      <c r="AY592" s="217">
        <f t="shared" si="327"/>
        <v>90050</v>
      </c>
      <c r="AZ592" s="107"/>
      <c r="BA592" s="94">
        <v>45534.25</v>
      </c>
      <c r="BB592" s="94">
        <v>45534.260416666664</v>
      </c>
      <c r="BC592" s="94">
        <v>45534.286111111112</v>
      </c>
      <c r="BD592" s="94">
        <v>45534.438194444447</v>
      </c>
      <c r="BE592" s="95">
        <f t="shared" si="328"/>
        <v>0.18819444444670808</v>
      </c>
      <c r="BF592" s="95">
        <v>1.6666666666666666E-2</v>
      </c>
      <c r="BG592" s="95">
        <v>1.3888888888888888E-2</v>
      </c>
      <c r="BH592" s="95">
        <f t="shared" si="329"/>
        <v>1.0416666664241347E-2</v>
      </c>
      <c r="BI592" s="95">
        <f t="shared" si="329"/>
        <v>2.5694444448163267E-2</v>
      </c>
      <c r="BJ592" s="95">
        <f t="shared" si="329"/>
        <v>0.15208333333430346</v>
      </c>
      <c r="BK592" s="95">
        <f t="shared" si="330"/>
        <v>0.17777777778246673</v>
      </c>
      <c r="BL592" s="95">
        <f t="shared" si="331"/>
        <v>0.14722222222691117</v>
      </c>
      <c r="BM592" s="95" t="str">
        <f t="shared" si="332"/>
        <v>00:00</v>
      </c>
      <c r="BN592" s="110"/>
    </row>
    <row r="593" spans="1:66" s="8" customFormat="1" ht="12.75" customHeight="1" x14ac:dyDescent="0.25">
      <c r="A593" s="150">
        <v>538</v>
      </c>
      <c r="B593" s="150">
        <v>108</v>
      </c>
      <c r="C593" s="90">
        <v>10</v>
      </c>
      <c r="D593" s="111" t="s">
        <v>113</v>
      </c>
      <c r="E593" s="210" t="s">
        <v>667</v>
      </c>
      <c r="F593" s="150" t="s">
        <v>27</v>
      </c>
      <c r="G593" s="150" t="s">
        <v>12</v>
      </c>
      <c r="H593" s="150" t="s">
        <v>115</v>
      </c>
      <c r="I593" s="150" t="s">
        <v>790</v>
      </c>
      <c r="J593" s="151">
        <v>45533</v>
      </c>
      <c r="K593" s="135" t="s">
        <v>117</v>
      </c>
      <c r="L593" s="135">
        <v>282001012</v>
      </c>
      <c r="M593" s="151">
        <v>45535</v>
      </c>
      <c r="N593" s="152">
        <v>45534.541666666664</v>
      </c>
      <c r="O593" s="152">
        <v>45534.541666666664</v>
      </c>
      <c r="P593" s="152">
        <v>45534.548611111109</v>
      </c>
      <c r="Q593" s="152">
        <v>45534.75</v>
      </c>
      <c r="R593" s="152" t="s">
        <v>118</v>
      </c>
      <c r="S593" s="152">
        <v>45534.822916666664</v>
      </c>
      <c r="T593" s="152">
        <v>45534.875</v>
      </c>
      <c r="U593" s="152">
        <v>45534.986111111109</v>
      </c>
      <c r="V593" s="219">
        <f t="shared" si="324"/>
        <v>0.20833333333575865</v>
      </c>
      <c r="W593" s="203">
        <v>0.20833333333333334</v>
      </c>
      <c r="X593" s="219">
        <f t="shared" si="325"/>
        <v>2.4253099528692701E-12</v>
      </c>
      <c r="Y593" s="96">
        <v>0</v>
      </c>
      <c r="Z593" s="96">
        <v>59</v>
      </c>
      <c r="AA593" s="96">
        <f t="shared" si="298"/>
        <v>59</v>
      </c>
      <c r="AB593" s="97">
        <f t="shared" si="299"/>
        <v>0</v>
      </c>
      <c r="AC593" s="97">
        <f t="shared" si="300"/>
        <v>3989.39</v>
      </c>
      <c r="AD593" s="98">
        <v>3989.39</v>
      </c>
      <c r="AE593" s="98">
        <v>4087.7</v>
      </c>
      <c r="AF593" s="98">
        <v>4089.4</v>
      </c>
      <c r="AG593" s="98">
        <f t="shared" si="301"/>
        <v>100.01000000000022</v>
      </c>
      <c r="AH593" s="99">
        <v>1586.7</v>
      </c>
      <c r="AI593" s="100">
        <f t="shared" si="302"/>
        <v>6488650.9800000004</v>
      </c>
      <c r="AJ593" s="100">
        <f t="shared" ref="AJ593:AJ605" si="333">(0*AH593)*2</f>
        <v>0</v>
      </c>
      <c r="AK593" s="100">
        <v>0</v>
      </c>
      <c r="AL593" s="100">
        <v>24290</v>
      </c>
      <c r="AM593" s="100">
        <v>0</v>
      </c>
      <c r="AN593" s="100">
        <v>0</v>
      </c>
      <c r="AO593" s="100">
        <f>IFERROR(AF593*20+(((AJ593/AH593)/2)*20),0)</f>
        <v>81788</v>
      </c>
      <c r="AP593" s="100">
        <f t="shared" si="322"/>
        <v>329737</v>
      </c>
      <c r="AQ593" s="101">
        <f t="shared" si="323"/>
        <v>6924466</v>
      </c>
      <c r="AR593" s="101">
        <v>0</v>
      </c>
      <c r="AS593" s="101">
        <v>0</v>
      </c>
      <c r="AT593" s="102" t="s">
        <v>33</v>
      </c>
      <c r="AU593" s="109">
        <v>1</v>
      </c>
      <c r="AV593" s="100">
        <f>3.6-1.6</f>
        <v>2</v>
      </c>
      <c r="AW593" s="105">
        <v>2</v>
      </c>
      <c r="AX593" s="216">
        <f t="shared" si="326"/>
        <v>2.4455910402504086</v>
      </c>
      <c r="AY593" s="217">
        <f t="shared" si="327"/>
        <v>158686</v>
      </c>
      <c r="AZ593" s="107"/>
      <c r="BA593" s="94">
        <v>45534.541666666664</v>
      </c>
      <c r="BB593" s="94">
        <v>45534.548611111109</v>
      </c>
      <c r="BC593" s="94">
        <v>45534.552083333336</v>
      </c>
      <c r="BD593" s="94">
        <v>45534.80972222222</v>
      </c>
      <c r="BE593" s="95">
        <f t="shared" si="328"/>
        <v>0.26805555555620231</v>
      </c>
      <c r="BF593" s="95">
        <v>9.3055555555555558E-2</v>
      </c>
      <c r="BG593" s="95">
        <v>4.3749999999999997E-2</v>
      </c>
      <c r="BH593" s="95">
        <f t="shared" si="329"/>
        <v>6.9444444452528842E-3</v>
      </c>
      <c r="BI593" s="95">
        <f t="shared" si="329"/>
        <v>3.4722222262644209E-3</v>
      </c>
      <c r="BJ593" s="95">
        <f t="shared" si="329"/>
        <v>0.257638888884685</v>
      </c>
      <c r="BK593" s="95">
        <f t="shared" si="330"/>
        <v>0.26111111111094942</v>
      </c>
      <c r="BL593" s="95">
        <f t="shared" si="331"/>
        <v>0.12430555555539387</v>
      </c>
      <c r="BM593" s="95">
        <f t="shared" si="332"/>
        <v>5.9722222222868965E-2</v>
      </c>
      <c r="BN593" s="110"/>
    </row>
    <row r="594" spans="1:66" s="8" customFormat="1" ht="12.75" customHeight="1" x14ac:dyDescent="0.25">
      <c r="A594" s="150">
        <v>539</v>
      </c>
      <c r="B594" s="150">
        <v>109</v>
      </c>
      <c r="C594" s="90">
        <v>10</v>
      </c>
      <c r="D594" s="111" t="s">
        <v>148</v>
      </c>
      <c r="E594" s="210" t="s">
        <v>766</v>
      </c>
      <c r="F594" s="150" t="s">
        <v>16</v>
      </c>
      <c r="G594" s="150" t="s">
        <v>17</v>
      </c>
      <c r="H594" s="150" t="s">
        <v>150</v>
      </c>
      <c r="I594" s="150" t="s">
        <v>791</v>
      </c>
      <c r="J594" s="151">
        <v>45531</v>
      </c>
      <c r="K594" s="135" t="s">
        <v>122</v>
      </c>
      <c r="L594" s="135">
        <v>461000455</v>
      </c>
      <c r="M594" s="151">
        <v>45535</v>
      </c>
      <c r="N594" s="152">
        <v>45534.791666666664</v>
      </c>
      <c r="O594" s="152">
        <v>45534.791666666664</v>
      </c>
      <c r="P594" s="152">
        <v>45534.795138888891</v>
      </c>
      <c r="Q594" s="152">
        <v>45534.989583333336</v>
      </c>
      <c r="R594" s="152" t="s">
        <v>118</v>
      </c>
      <c r="S594" s="152">
        <v>45535.319444444445</v>
      </c>
      <c r="T594" s="152">
        <v>45535.333333333336</v>
      </c>
      <c r="U594" s="152">
        <v>45535.48333333333</v>
      </c>
      <c r="V594" s="219">
        <f t="shared" si="324"/>
        <v>0.19791666667151731</v>
      </c>
      <c r="W594" s="203">
        <v>0.20833333333333334</v>
      </c>
      <c r="X594" s="219" t="str">
        <f t="shared" si="325"/>
        <v>00:00</v>
      </c>
      <c r="Y594" s="96">
        <v>0</v>
      </c>
      <c r="Z594" s="96">
        <v>58</v>
      </c>
      <c r="AA594" s="96">
        <f t="shared" si="298"/>
        <v>58</v>
      </c>
      <c r="AB594" s="97">
        <f t="shared" si="299"/>
        <v>0</v>
      </c>
      <c r="AC594" s="97">
        <f t="shared" si="300"/>
        <v>3854.54</v>
      </c>
      <c r="AD594" s="98">
        <v>3854.54</v>
      </c>
      <c r="AE594" s="98">
        <v>4029</v>
      </c>
      <c r="AF594" s="98">
        <v>4029.2</v>
      </c>
      <c r="AG594" s="98">
        <f t="shared" si="301"/>
        <v>174.65999999999985</v>
      </c>
      <c r="AH594" s="99">
        <v>672.5</v>
      </c>
      <c r="AI594" s="100">
        <f t="shared" si="302"/>
        <v>2709637</v>
      </c>
      <c r="AJ594" s="100">
        <f t="shared" si="333"/>
        <v>0</v>
      </c>
      <c r="AK594" s="100">
        <v>0</v>
      </c>
      <c r="AL594" s="100">
        <v>0</v>
      </c>
      <c r="AM594" s="100">
        <v>0</v>
      </c>
      <c r="AN594" s="100">
        <v>0</v>
      </c>
      <c r="AO594" s="100">
        <v>0</v>
      </c>
      <c r="AP594" s="100">
        <f t="shared" si="322"/>
        <v>135482</v>
      </c>
      <c r="AQ594" s="101">
        <f t="shared" si="323"/>
        <v>2845119</v>
      </c>
      <c r="AR594" s="101">
        <v>0</v>
      </c>
      <c r="AS594" s="101">
        <v>0</v>
      </c>
      <c r="AT594" s="102" t="s">
        <v>34</v>
      </c>
      <c r="AU594" s="109" t="s">
        <v>118</v>
      </c>
      <c r="AV594" s="100">
        <v>0</v>
      </c>
      <c r="AW594" s="105">
        <v>8</v>
      </c>
      <c r="AX594" s="216">
        <f t="shared" si="326"/>
        <v>4.3348555544524938</v>
      </c>
      <c r="AY594" s="217">
        <f t="shared" si="327"/>
        <v>117459</v>
      </c>
      <c r="AZ594" s="107"/>
      <c r="BA594" s="94">
        <v>45534.791666666664</v>
      </c>
      <c r="BB594" s="94">
        <v>45534.795138888891</v>
      </c>
      <c r="BC594" s="94">
        <v>45534.836111111108</v>
      </c>
      <c r="BD594" s="94">
        <v>45535.3125</v>
      </c>
      <c r="BE594" s="95">
        <f t="shared" si="328"/>
        <v>0.52083333333575865</v>
      </c>
      <c r="BF594" s="95">
        <v>0.27430555555555558</v>
      </c>
      <c r="BG594" s="95">
        <v>4.4444444444444446E-2</v>
      </c>
      <c r="BH594" s="95">
        <f t="shared" si="329"/>
        <v>3.4722222262644209E-3</v>
      </c>
      <c r="BI594" s="95">
        <f t="shared" si="329"/>
        <v>4.0972222217533272E-2</v>
      </c>
      <c r="BJ594" s="95">
        <f t="shared" si="329"/>
        <v>0.47638888889196096</v>
      </c>
      <c r="BK594" s="95">
        <f t="shared" si="330"/>
        <v>0.51736111110949423</v>
      </c>
      <c r="BL594" s="95">
        <f t="shared" si="331"/>
        <v>0.1986111111094942</v>
      </c>
      <c r="BM594" s="95">
        <f t="shared" si="332"/>
        <v>0.31250000000242528</v>
      </c>
      <c r="BN594" s="110"/>
    </row>
    <row r="595" spans="1:66" s="8" customFormat="1" ht="12.75" customHeight="1" x14ac:dyDescent="0.25">
      <c r="A595" s="150">
        <v>540</v>
      </c>
      <c r="B595" s="150">
        <v>110</v>
      </c>
      <c r="C595" s="90">
        <v>19</v>
      </c>
      <c r="D595" s="111" t="s">
        <v>113</v>
      </c>
      <c r="E595" s="210" t="s">
        <v>711</v>
      </c>
      <c r="F595" s="150" t="s">
        <v>32</v>
      </c>
      <c r="G595" s="150" t="s">
        <v>8</v>
      </c>
      <c r="H595" s="150" t="s">
        <v>120</v>
      </c>
      <c r="I595" s="150" t="s">
        <v>792</v>
      </c>
      <c r="J595" s="151">
        <v>45533</v>
      </c>
      <c r="K595" s="135" t="s">
        <v>117</v>
      </c>
      <c r="L595" s="135">
        <v>261005965</v>
      </c>
      <c r="M595" s="151">
        <v>45535</v>
      </c>
      <c r="N595" s="152">
        <v>45535.135416666664</v>
      </c>
      <c r="O595" s="152">
        <v>45535.135416666664</v>
      </c>
      <c r="P595" s="152">
        <v>45535.138888888891</v>
      </c>
      <c r="Q595" s="152">
        <v>45535.34375</v>
      </c>
      <c r="R595" s="152" t="s">
        <v>118</v>
      </c>
      <c r="S595" s="152">
        <v>45535.46875</v>
      </c>
      <c r="T595" s="152">
        <v>45535.583333333336</v>
      </c>
      <c r="U595" s="152">
        <v>45535.680555555555</v>
      </c>
      <c r="V595" s="219">
        <f t="shared" si="324"/>
        <v>0.20833333333575865</v>
      </c>
      <c r="W595" s="203">
        <v>0.20833333333333334</v>
      </c>
      <c r="X595" s="219">
        <f t="shared" si="325"/>
        <v>2.4253099528692701E-12</v>
      </c>
      <c r="Y595" s="96">
        <v>5</v>
      </c>
      <c r="Z595" s="96">
        <v>54</v>
      </c>
      <c r="AA595" s="96">
        <f t="shared" si="298"/>
        <v>59</v>
      </c>
      <c r="AB595" s="97">
        <f t="shared" si="299"/>
        <v>339.93728813559323</v>
      </c>
      <c r="AC595" s="97">
        <f t="shared" si="300"/>
        <v>3671.3227118644068</v>
      </c>
      <c r="AD595" s="98">
        <v>4011.26</v>
      </c>
      <c r="AE595" s="98">
        <v>4111.6000000000004</v>
      </c>
      <c r="AF595" s="98">
        <v>4116.6000000000004</v>
      </c>
      <c r="AG595" s="98">
        <f t="shared" si="301"/>
        <v>105.34000000000015</v>
      </c>
      <c r="AH595" s="99">
        <v>1398.7</v>
      </c>
      <c r="AI595" s="100">
        <f t="shared" si="302"/>
        <v>5757888.4200000009</v>
      </c>
      <c r="AJ595" s="100">
        <f t="shared" si="333"/>
        <v>0</v>
      </c>
      <c r="AK595" s="100">
        <v>0</v>
      </c>
      <c r="AL595" s="100">
        <v>24290</v>
      </c>
      <c r="AM595" s="100">
        <v>0</v>
      </c>
      <c r="AN595" s="100">
        <v>0</v>
      </c>
      <c r="AO595" s="100">
        <v>0</v>
      </c>
      <c r="AP595" s="100">
        <f t="shared" si="322"/>
        <v>289109</v>
      </c>
      <c r="AQ595" s="101">
        <f t="shared" si="323"/>
        <v>6071288</v>
      </c>
      <c r="AR595" s="101">
        <v>0</v>
      </c>
      <c r="AS595" s="101">
        <v>0</v>
      </c>
      <c r="AT595" s="102" t="s">
        <v>33</v>
      </c>
      <c r="AU595" s="109">
        <v>4</v>
      </c>
      <c r="AV595" s="100">
        <f>9.6-4.1</f>
        <v>5.5</v>
      </c>
      <c r="AW595" s="105">
        <v>3</v>
      </c>
      <c r="AX595" s="216">
        <f t="shared" si="326"/>
        <v>2.558907836564158</v>
      </c>
      <c r="AY595" s="217">
        <f t="shared" si="327"/>
        <v>147340</v>
      </c>
      <c r="AZ595" s="107"/>
      <c r="BA595" s="94">
        <v>45535.135416666664</v>
      </c>
      <c r="BB595" s="94">
        <v>45535.138888888891</v>
      </c>
      <c r="BC595" s="94">
        <v>45535.354166666664</v>
      </c>
      <c r="BD595" s="94">
        <v>45535.510416666664</v>
      </c>
      <c r="BE595" s="95">
        <f t="shared" si="328"/>
        <v>0.375</v>
      </c>
      <c r="BF595" s="95">
        <v>3.888888888888889E-2</v>
      </c>
      <c r="BG595" s="95">
        <v>0.19444444444444445</v>
      </c>
      <c r="BH595" s="95">
        <f t="shared" si="329"/>
        <v>3.4722222262644209E-3</v>
      </c>
      <c r="BI595" s="95">
        <f t="shared" si="329"/>
        <v>0.21527777777373558</v>
      </c>
      <c r="BJ595" s="95">
        <f t="shared" si="329"/>
        <v>0.15625</v>
      </c>
      <c r="BK595" s="95">
        <f t="shared" si="330"/>
        <v>0.37152777777373558</v>
      </c>
      <c r="BL595" s="95">
        <f t="shared" si="331"/>
        <v>0.13819444444040227</v>
      </c>
      <c r="BM595" s="95">
        <f t="shared" si="332"/>
        <v>0.16666666666666666</v>
      </c>
      <c r="BN595" s="110"/>
    </row>
    <row r="596" spans="1:66" s="8" customFormat="1" ht="12.75" customHeight="1" x14ac:dyDescent="0.25">
      <c r="A596" s="150">
        <v>541</v>
      </c>
      <c r="B596" s="150">
        <v>111</v>
      </c>
      <c r="C596" s="90">
        <v>5</v>
      </c>
      <c r="D596" s="111" t="s">
        <v>113</v>
      </c>
      <c r="E596" s="210" t="s">
        <v>759</v>
      </c>
      <c r="F596" s="150" t="s">
        <v>29</v>
      </c>
      <c r="G596" s="150" t="s">
        <v>8</v>
      </c>
      <c r="H596" s="150" t="s">
        <v>124</v>
      </c>
      <c r="I596" s="150" t="s">
        <v>793</v>
      </c>
      <c r="J596" s="151">
        <v>45534</v>
      </c>
      <c r="K596" s="135" t="s">
        <v>122</v>
      </c>
      <c r="L596" s="135">
        <v>461000456</v>
      </c>
      <c r="M596" s="151">
        <v>45536</v>
      </c>
      <c r="N596" s="152">
        <v>45535.71875</v>
      </c>
      <c r="O596" s="152">
        <v>45535.71875</v>
      </c>
      <c r="P596" s="152">
        <v>45535.739583333336</v>
      </c>
      <c r="Q596" s="152">
        <v>45535.90625</v>
      </c>
      <c r="R596" s="152" t="s">
        <v>118</v>
      </c>
      <c r="S596" s="152" t="s">
        <v>118</v>
      </c>
      <c r="T596" s="152">
        <v>45535.9375</v>
      </c>
      <c r="U596" s="152">
        <v>45536.069444444445</v>
      </c>
      <c r="V596" s="219">
        <f t="shared" si="324"/>
        <v>0.1875</v>
      </c>
      <c r="W596" s="203">
        <v>0.20833333333333334</v>
      </c>
      <c r="X596" s="219" t="str">
        <f t="shared" si="325"/>
        <v>00:00</v>
      </c>
      <c r="Y596" s="96">
        <v>0</v>
      </c>
      <c r="Z596" s="96">
        <v>58</v>
      </c>
      <c r="AA596" s="96">
        <f t="shared" si="298"/>
        <v>58</v>
      </c>
      <c r="AB596" s="97">
        <f t="shared" si="299"/>
        <v>0</v>
      </c>
      <c r="AC596" s="97">
        <f t="shared" si="300"/>
        <v>4003.6200000000003</v>
      </c>
      <c r="AD596" s="98">
        <v>4003.62</v>
      </c>
      <c r="AE596" s="98">
        <v>4045</v>
      </c>
      <c r="AF596" s="98">
        <v>4052.4</v>
      </c>
      <c r="AG596" s="98">
        <f t="shared" si="301"/>
        <v>48.7800000000002</v>
      </c>
      <c r="AH596" s="99">
        <v>797.2</v>
      </c>
      <c r="AI596" s="100">
        <f t="shared" si="302"/>
        <v>3230573.2800000003</v>
      </c>
      <c r="AJ596" s="100">
        <f t="shared" si="333"/>
        <v>0</v>
      </c>
      <c r="AK596" s="100">
        <v>0</v>
      </c>
      <c r="AL596" s="100">
        <v>24140</v>
      </c>
      <c r="AM596" s="100">
        <v>0</v>
      </c>
      <c r="AN596" s="100">
        <v>0</v>
      </c>
      <c r="AO596" s="100">
        <v>0</v>
      </c>
      <c r="AP596" s="100">
        <f t="shared" si="322"/>
        <v>162736</v>
      </c>
      <c r="AQ596" s="101">
        <f t="shared" si="323"/>
        <v>3417450</v>
      </c>
      <c r="AR596" s="101">
        <v>0</v>
      </c>
      <c r="AS596" s="101">
        <v>0</v>
      </c>
      <c r="AT596" s="102" t="s">
        <v>34</v>
      </c>
      <c r="AU596" s="109">
        <v>1</v>
      </c>
      <c r="AV596" s="100">
        <f>8-7</f>
        <v>1</v>
      </c>
      <c r="AW596" s="105">
        <v>0</v>
      </c>
      <c r="AX596" s="216">
        <f t="shared" si="326"/>
        <v>1.2037311222979024</v>
      </c>
      <c r="AY596" s="217">
        <f t="shared" si="327"/>
        <v>38888</v>
      </c>
      <c r="AZ596" s="107"/>
      <c r="BA596" s="94">
        <v>45535.71875</v>
      </c>
      <c r="BB596" s="94">
        <v>45535.739583333336</v>
      </c>
      <c r="BC596" s="94">
        <v>45535.75</v>
      </c>
      <c r="BD596" s="94">
        <v>45535.879861111112</v>
      </c>
      <c r="BE596" s="95">
        <f t="shared" si="328"/>
        <v>0.16111111111240461</v>
      </c>
      <c r="BF596" s="95">
        <v>1.5972222222222221E-2</v>
      </c>
      <c r="BG596" s="95">
        <v>0</v>
      </c>
      <c r="BH596" s="95">
        <f t="shared" si="329"/>
        <v>2.0833333335758653E-2</v>
      </c>
      <c r="BI596" s="95">
        <f t="shared" si="329"/>
        <v>1.0416666664241347E-2</v>
      </c>
      <c r="BJ596" s="95">
        <f t="shared" si="329"/>
        <v>0.12986111111240461</v>
      </c>
      <c r="BK596" s="95">
        <f t="shared" si="330"/>
        <v>0.14027777777664596</v>
      </c>
      <c r="BL596" s="95">
        <f t="shared" si="331"/>
        <v>0.12430555555442374</v>
      </c>
      <c r="BM596" s="95" t="str">
        <f t="shared" si="332"/>
        <v>00:00</v>
      </c>
      <c r="BN596" s="110"/>
    </row>
    <row r="597" spans="1:66" s="8" customFormat="1" ht="12.75" customHeight="1" x14ac:dyDescent="0.25">
      <c r="A597" s="153">
        <v>542</v>
      </c>
      <c r="B597" s="150">
        <v>112</v>
      </c>
      <c r="C597" s="90">
        <v>11</v>
      </c>
      <c r="D597" s="111" t="s">
        <v>113</v>
      </c>
      <c r="E597" s="210" t="s">
        <v>681</v>
      </c>
      <c r="F597" s="150" t="s">
        <v>27</v>
      </c>
      <c r="G597" s="150" t="s">
        <v>12</v>
      </c>
      <c r="H597" s="150" t="s">
        <v>115</v>
      </c>
      <c r="I597" s="150" t="s">
        <v>794</v>
      </c>
      <c r="J597" s="151">
        <v>45535</v>
      </c>
      <c r="K597" s="135" t="s">
        <v>117</v>
      </c>
      <c r="L597" s="135">
        <v>282001013</v>
      </c>
      <c r="M597" s="151">
        <v>45536</v>
      </c>
      <c r="N597" s="152">
        <v>45535.9375</v>
      </c>
      <c r="O597" s="152">
        <v>45535.9375</v>
      </c>
      <c r="P597" s="152">
        <v>45535.940972222219</v>
      </c>
      <c r="Q597" s="152">
        <v>45536.145833333336</v>
      </c>
      <c r="R597" s="152" t="s">
        <v>118</v>
      </c>
      <c r="S597" s="152" t="s">
        <v>118</v>
      </c>
      <c r="T597" s="152">
        <v>45536.302083333336</v>
      </c>
      <c r="U597" s="152">
        <v>45536.444444444445</v>
      </c>
      <c r="V597" s="219">
        <f t="shared" si="324"/>
        <v>0.20833333333575865</v>
      </c>
      <c r="W597" s="203">
        <v>0.20833333333333334</v>
      </c>
      <c r="X597" s="219">
        <f t="shared" si="325"/>
        <v>2.4253099528692701E-12</v>
      </c>
      <c r="Y597" s="96">
        <v>0</v>
      </c>
      <c r="Z597" s="96">
        <v>59</v>
      </c>
      <c r="AA597" s="96">
        <f t="shared" si="298"/>
        <v>59</v>
      </c>
      <c r="AB597" s="97">
        <f t="shared" si="299"/>
        <v>0</v>
      </c>
      <c r="AC597" s="97">
        <f t="shared" si="300"/>
        <v>4041.0600000000004</v>
      </c>
      <c r="AD597" s="98">
        <v>4041.06</v>
      </c>
      <c r="AE597" s="98">
        <v>4098.1000000000004</v>
      </c>
      <c r="AF597" s="98">
        <v>4102.3999999999996</v>
      </c>
      <c r="AG597" s="98">
        <f t="shared" si="301"/>
        <v>61.339999999999691</v>
      </c>
      <c r="AH597" s="99">
        <v>1586.7</v>
      </c>
      <c r="AI597" s="100">
        <f t="shared" si="302"/>
        <v>6509278.0800000001</v>
      </c>
      <c r="AJ597" s="100">
        <f t="shared" si="333"/>
        <v>0</v>
      </c>
      <c r="AK597" s="100">
        <v>0</v>
      </c>
      <c r="AL597" s="100">
        <v>24290</v>
      </c>
      <c r="AM597" s="100">
        <v>0</v>
      </c>
      <c r="AN597" s="100">
        <v>0</v>
      </c>
      <c r="AO597" s="100">
        <f>IFERROR(AF597*20+(((AJ597/AH597)/2)*20),0)</f>
        <v>82048</v>
      </c>
      <c r="AP597" s="100">
        <f t="shared" si="322"/>
        <v>330781</v>
      </c>
      <c r="AQ597" s="101">
        <f t="shared" si="323"/>
        <v>6946398</v>
      </c>
      <c r="AR597" s="101">
        <v>0</v>
      </c>
      <c r="AS597" s="101">
        <v>0</v>
      </c>
      <c r="AT597" s="102" t="s">
        <v>33</v>
      </c>
      <c r="AU597" s="109">
        <v>1</v>
      </c>
      <c r="AV597" s="100">
        <f>4.8-3.8</f>
        <v>1</v>
      </c>
      <c r="AW597" s="105">
        <v>0</v>
      </c>
      <c r="AX597" s="216">
        <f t="shared" si="326"/>
        <v>1.4952223088923484</v>
      </c>
      <c r="AY597" s="217">
        <f t="shared" si="327"/>
        <v>97329</v>
      </c>
      <c r="AZ597" s="107"/>
      <c r="BA597" s="94">
        <v>45535.9375</v>
      </c>
      <c r="BB597" s="94">
        <v>45535.940972222219</v>
      </c>
      <c r="BC597" s="94">
        <v>45535.947916666664</v>
      </c>
      <c r="BD597" s="94">
        <v>45536.181250000001</v>
      </c>
      <c r="BE597" s="95">
        <f t="shared" si="328"/>
        <v>0.24375000000145519</v>
      </c>
      <c r="BF597" s="95">
        <v>7.7083333333333337E-2</v>
      </c>
      <c r="BG597" s="95">
        <v>6.9444444444444441E-3</v>
      </c>
      <c r="BH597" s="95">
        <f t="shared" si="329"/>
        <v>3.4722222189884633E-3</v>
      </c>
      <c r="BI597" s="95">
        <f t="shared" si="329"/>
        <v>6.9444444452528842E-3</v>
      </c>
      <c r="BJ597" s="95">
        <f t="shared" si="329"/>
        <v>0.23333333333721384</v>
      </c>
      <c r="BK597" s="95">
        <f t="shared" si="330"/>
        <v>0.24027777778246673</v>
      </c>
      <c r="BL597" s="95">
        <f t="shared" si="331"/>
        <v>0.15625000000468894</v>
      </c>
      <c r="BM597" s="95">
        <f t="shared" si="332"/>
        <v>3.5416666668121849E-2</v>
      </c>
      <c r="BN597" s="110"/>
    </row>
    <row r="598" spans="1:66" s="8" customFormat="1" ht="12.75" customHeight="1" x14ac:dyDescent="0.25">
      <c r="A598" s="153">
        <v>543</v>
      </c>
      <c r="B598" s="150">
        <v>1</v>
      </c>
      <c r="C598" s="90">
        <v>20</v>
      </c>
      <c r="D598" s="111" t="s">
        <v>113</v>
      </c>
      <c r="E598" s="210" t="s">
        <v>711</v>
      </c>
      <c r="F598" s="150" t="s">
        <v>32</v>
      </c>
      <c r="G598" s="150" t="s">
        <v>8</v>
      </c>
      <c r="H598" s="150" t="s">
        <v>182</v>
      </c>
      <c r="I598" s="150" t="s">
        <v>795</v>
      </c>
      <c r="J598" s="151">
        <v>45538</v>
      </c>
      <c r="K598" s="135" t="s">
        <v>122</v>
      </c>
      <c r="L598" s="135">
        <v>261005966</v>
      </c>
      <c r="M598" s="151">
        <v>45539</v>
      </c>
      <c r="N598" s="152">
        <v>45538.677083333336</v>
      </c>
      <c r="O598" s="152">
        <v>45538.677083333336</v>
      </c>
      <c r="P598" s="152">
        <v>45538.680555555555</v>
      </c>
      <c r="Q598" s="152">
        <v>45538.885416666664</v>
      </c>
      <c r="R598" s="152" t="s">
        <v>118</v>
      </c>
      <c r="S598" s="152" t="s">
        <v>118</v>
      </c>
      <c r="T598" s="152">
        <v>45538.979166666664</v>
      </c>
      <c r="U598" s="152">
        <v>45539.100694444445</v>
      </c>
      <c r="V598" s="219">
        <f t="shared" si="324"/>
        <v>0.20833333332848269</v>
      </c>
      <c r="W598" s="203">
        <v>0.20833333333333334</v>
      </c>
      <c r="X598" s="219" t="str">
        <f t="shared" si="325"/>
        <v>00:00</v>
      </c>
      <c r="Y598" s="96">
        <v>0</v>
      </c>
      <c r="Z598" s="96">
        <v>59</v>
      </c>
      <c r="AA598" s="96">
        <f t="shared" si="298"/>
        <v>59</v>
      </c>
      <c r="AB598" s="97">
        <f t="shared" si="299"/>
        <v>0</v>
      </c>
      <c r="AC598" s="97">
        <f t="shared" si="300"/>
        <v>4014.9700000000003</v>
      </c>
      <c r="AD598" s="98">
        <v>4014.97</v>
      </c>
      <c r="AE598" s="98">
        <v>4102.6000000000004</v>
      </c>
      <c r="AF598" s="98">
        <v>4105.3999999999996</v>
      </c>
      <c r="AG598" s="98">
        <f t="shared" si="301"/>
        <v>90.429999999999836</v>
      </c>
      <c r="AH598" s="99">
        <v>1484</v>
      </c>
      <c r="AI598" s="100">
        <f t="shared" si="302"/>
        <v>6092413.5999999996</v>
      </c>
      <c r="AJ598" s="100">
        <f t="shared" si="333"/>
        <v>0</v>
      </c>
      <c r="AK598" s="100">
        <v>0</v>
      </c>
      <c r="AL598" s="100">
        <v>0</v>
      </c>
      <c r="AM598" s="100">
        <v>0</v>
      </c>
      <c r="AN598" s="100">
        <v>0</v>
      </c>
      <c r="AO598" s="100">
        <v>0</v>
      </c>
      <c r="AP598" s="100">
        <f t="shared" si="322"/>
        <v>304621</v>
      </c>
      <c r="AQ598" s="101">
        <f t="shared" si="323"/>
        <v>6397035</v>
      </c>
      <c r="AR598" s="101">
        <v>0</v>
      </c>
      <c r="AS598" s="101">
        <v>0</v>
      </c>
      <c r="AT598" s="102" t="s">
        <v>33</v>
      </c>
      <c r="AU598" s="109" t="s">
        <v>118</v>
      </c>
      <c r="AV598" s="100">
        <v>0</v>
      </c>
      <c r="AW598" s="105">
        <v>0</v>
      </c>
      <c r="AX598" s="216">
        <f t="shared" si="326"/>
        <v>2.2027086276611256</v>
      </c>
      <c r="AY598" s="217">
        <f t="shared" si="327"/>
        <v>134199</v>
      </c>
      <c r="AZ598" s="107"/>
      <c r="BA598" s="94">
        <v>45538.677083333336</v>
      </c>
      <c r="BB598" s="94">
        <v>45538.680555555555</v>
      </c>
      <c r="BC598" s="94">
        <v>45538.680555555555</v>
      </c>
      <c r="BD598" s="94">
        <v>45538.808333333334</v>
      </c>
      <c r="BE598" s="95">
        <f t="shared" si="328"/>
        <v>0.13124999999854481</v>
      </c>
      <c r="BF598" s="95">
        <v>0</v>
      </c>
      <c r="BG598" s="95">
        <v>0</v>
      </c>
      <c r="BH598" s="95">
        <f t="shared" si="329"/>
        <v>3.4722222189884633E-3</v>
      </c>
      <c r="BI598" s="95">
        <f t="shared" si="329"/>
        <v>0</v>
      </c>
      <c r="BJ598" s="95">
        <f t="shared" si="329"/>
        <v>0.12777777777955635</v>
      </c>
      <c r="BK598" s="95">
        <f t="shared" si="330"/>
        <v>0.12777777777955635</v>
      </c>
      <c r="BL598" s="95">
        <f t="shared" si="331"/>
        <v>0.12777777777955635</v>
      </c>
      <c r="BM598" s="95" t="str">
        <f t="shared" si="332"/>
        <v>00:00</v>
      </c>
      <c r="BN598" s="110"/>
    </row>
    <row r="599" spans="1:66" s="8" customFormat="1" ht="12.75" customHeight="1" x14ac:dyDescent="0.25">
      <c r="A599" s="115">
        <v>544</v>
      </c>
      <c r="B599" s="115">
        <v>2</v>
      </c>
      <c r="C599" s="115">
        <v>12</v>
      </c>
      <c r="D599" s="115" t="s">
        <v>113</v>
      </c>
      <c r="E599" s="210" t="s">
        <v>681</v>
      </c>
      <c r="F599" s="115" t="s">
        <v>27</v>
      </c>
      <c r="G599" s="115" t="s">
        <v>12</v>
      </c>
      <c r="H599" s="115" t="s">
        <v>115</v>
      </c>
      <c r="I599" s="116" t="s">
        <v>796</v>
      </c>
      <c r="J599" s="117">
        <v>45539</v>
      </c>
      <c r="K599" s="116" t="s">
        <v>117</v>
      </c>
      <c r="L599" s="116">
        <v>282001014</v>
      </c>
      <c r="M599" s="117">
        <v>45540</v>
      </c>
      <c r="N599" s="118">
        <v>45539.427083333336</v>
      </c>
      <c r="O599" s="118">
        <v>45539.427083333336</v>
      </c>
      <c r="P599" s="118">
        <v>45539.430555555555</v>
      </c>
      <c r="Q599" s="118">
        <v>45539.635416666664</v>
      </c>
      <c r="R599" s="118" t="s">
        <v>118</v>
      </c>
      <c r="S599" s="118">
        <v>45539.802083333336</v>
      </c>
      <c r="T599" s="118">
        <v>45539.854166666664</v>
      </c>
      <c r="U599" s="118">
        <v>45539.932638888888</v>
      </c>
      <c r="V599" s="119">
        <f t="shared" si="324"/>
        <v>0.20833333332848269</v>
      </c>
      <c r="W599" s="119">
        <v>0.20833333333333334</v>
      </c>
      <c r="X599" s="119" t="str">
        <f t="shared" si="325"/>
        <v>00:00</v>
      </c>
      <c r="Y599" s="96">
        <v>0</v>
      </c>
      <c r="Z599" s="96">
        <v>50</v>
      </c>
      <c r="AA599" s="96">
        <f t="shared" si="298"/>
        <v>50</v>
      </c>
      <c r="AB599" s="97">
        <f t="shared" si="299"/>
        <v>0</v>
      </c>
      <c r="AC599" s="97">
        <f t="shared" si="300"/>
        <v>3383.11</v>
      </c>
      <c r="AD599" s="98">
        <f>3912.01-528.9</f>
        <v>3383.11</v>
      </c>
      <c r="AE599" s="98">
        <f>4025.4-554.8</f>
        <v>3470.6000000000004</v>
      </c>
      <c r="AF599" s="98">
        <f>4025.8-554.8</f>
        <v>3471</v>
      </c>
      <c r="AG599" s="98">
        <f t="shared" si="301"/>
        <v>87.889999999999873</v>
      </c>
      <c r="AH599" s="99">
        <v>1586.7</v>
      </c>
      <c r="AI599" s="100">
        <f t="shared" si="302"/>
        <v>5507435.7000000002</v>
      </c>
      <c r="AJ599" s="100">
        <f t="shared" si="333"/>
        <v>0</v>
      </c>
      <c r="AK599" s="100">
        <v>0</v>
      </c>
      <c r="AL599" s="100">
        <v>0</v>
      </c>
      <c r="AM599" s="100">
        <v>0</v>
      </c>
      <c r="AN599" s="100">
        <v>0</v>
      </c>
      <c r="AO599" s="100">
        <f>IFERROR(AF599*20+(((AJ599/AH599)/2)*20),0)</f>
        <v>69420</v>
      </c>
      <c r="AP599" s="100">
        <f t="shared" si="322"/>
        <v>278843</v>
      </c>
      <c r="AQ599" s="101">
        <f>ROUNDUP(SUM(AI599:AP599),0)-1</f>
        <v>5855698</v>
      </c>
      <c r="AR599" s="101">
        <v>0</v>
      </c>
      <c r="AS599" s="101">
        <v>0</v>
      </c>
      <c r="AT599" s="137" t="s">
        <v>34</v>
      </c>
      <c r="AU599" s="120" t="s">
        <v>118</v>
      </c>
      <c r="AV599" s="121">
        <v>0</v>
      </c>
      <c r="AW599" s="229">
        <v>4</v>
      </c>
      <c r="AX599" s="140">
        <f>IFERROR(((AG599+AG600)/(AF599+AF600))*100, "")</f>
        <v>2.8265189527547281</v>
      </c>
      <c r="AY599" s="141">
        <f>ROUNDUP((AG599+AG600)*AH599,0)</f>
        <v>180551</v>
      </c>
      <c r="AZ599" s="107"/>
      <c r="BA599" s="118">
        <v>45539.416666666664</v>
      </c>
      <c r="BB599" s="118">
        <v>45539.420138888891</v>
      </c>
      <c r="BC599" s="118">
        <v>45539.420138888891</v>
      </c>
      <c r="BD599" s="118">
        <v>45539.804861111108</v>
      </c>
      <c r="BE599" s="119">
        <f t="shared" si="328"/>
        <v>0.38819444444379769</v>
      </c>
      <c r="BF599" s="119">
        <v>0.15763888888888888</v>
      </c>
      <c r="BG599" s="119">
        <v>5.2777777777777778E-2</v>
      </c>
      <c r="BH599" s="119">
        <f t="shared" si="329"/>
        <v>3.4722222262644209E-3</v>
      </c>
      <c r="BI599" s="119">
        <f t="shared" si="329"/>
        <v>0</v>
      </c>
      <c r="BJ599" s="119">
        <f t="shared" si="329"/>
        <v>0.38472222221753327</v>
      </c>
      <c r="BK599" s="119">
        <f t="shared" si="330"/>
        <v>0.38472222221753327</v>
      </c>
      <c r="BL599" s="119">
        <f t="shared" si="331"/>
        <v>0.1743055555508666</v>
      </c>
      <c r="BM599" s="119">
        <f t="shared" si="332"/>
        <v>0.17986111111046435</v>
      </c>
      <c r="BN599" s="110" t="s">
        <v>797</v>
      </c>
    </row>
    <row r="600" spans="1:66" s="8" customFormat="1" ht="12.75" customHeight="1" x14ac:dyDescent="0.25">
      <c r="A600" s="122"/>
      <c r="B600" s="122"/>
      <c r="C600" s="122"/>
      <c r="D600" s="122"/>
      <c r="E600" s="210" t="s">
        <v>667</v>
      </c>
      <c r="F600" s="122"/>
      <c r="G600" s="122"/>
      <c r="H600" s="122"/>
      <c r="I600" s="123"/>
      <c r="J600" s="124"/>
      <c r="K600" s="123"/>
      <c r="L600" s="123"/>
      <c r="M600" s="124"/>
      <c r="N600" s="125"/>
      <c r="O600" s="125"/>
      <c r="P600" s="125"/>
      <c r="Q600" s="125"/>
      <c r="R600" s="125"/>
      <c r="S600" s="125"/>
      <c r="T600" s="125"/>
      <c r="U600" s="125"/>
      <c r="V600" s="126"/>
      <c r="W600" s="126"/>
      <c r="X600" s="126"/>
      <c r="Y600" s="96">
        <v>0</v>
      </c>
      <c r="Z600" s="96">
        <v>8</v>
      </c>
      <c r="AA600" s="96">
        <f t="shared" si="298"/>
        <v>8</v>
      </c>
      <c r="AB600" s="97">
        <f t="shared" si="299"/>
        <v>0</v>
      </c>
      <c r="AC600" s="97">
        <f t="shared" si="300"/>
        <v>528.9</v>
      </c>
      <c r="AD600" s="98">
        <v>528.9</v>
      </c>
      <c r="AE600" s="98">
        <v>554.79999999999995</v>
      </c>
      <c r="AF600" s="98">
        <v>554.79999999999995</v>
      </c>
      <c r="AG600" s="98">
        <f t="shared" si="301"/>
        <v>25.899999999999977</v>
      </c>
      <c r="AH600" s="99">
        <v>1586.7</v>
      </c>
      <c r="AI600" s="100">
        <f t="shared" si="302"/>
        <v>880301.15999999992</v>
      </c>
      <c r="AJ600" s="100">
        <f t="shared" si="333"/>
        <v>0</v>
      </c>
      <c r="AK600" s="100">
        <v>0</v>
      </c>
      <c r="AL600" s="100">
        <v>0</v>
      </c>
      <c r="AM600" s="100">
        <v>0</v>
      </c>
      <c r="AN600" s="100">
        <v>0</v>
      </c>
      <c r="AO600" s="100">
        <f>IFERROR(AF600*20+(((AJ600/AH600)/2)*20),0)</f>
        <v>11096</v>
      </c>
      <c r="AP600" s="100">
        <f t="shared" si="322"/>
        <v>44570</v>
      </c>
      <c r="AQ600" s="101">
        <f>ROUNDUP(SUM(AI600:AP600),0)</f>
        <v>935968</v>
      </c>
      <c r="AR600" s="101">
        <v>0</v>
      </c>
      <c r="AS600" s="101">
        <v>0</v>
      </c>
      <c r="AT600" s="138"/>
      <c r="AU600" s="127"/>
      <c r="AV600" s="128"/>
      <c r="AW600" s="230"/>
      <c r="AX600" s="144"/>
      <c r="AY600" s="145"/>
      <c r="AZ600" s="107"/>
      <c r="BA600" s="125"/>
      <c r="BB600" s="125"/>
      <c r="BC600" s="125"/>
      <c r="BD600" s="125"/>
      <c r="BE600" s="126"/>
      <c r="BF600" s="126"/>
      <c r="BG600" s="126"/>
      <c r="BH600" s="126"/>
      <c r="BI600" s="126"/>
      <c r="BJ600" s="126"/>
      <c r="BK600" s="126"/>
      <c r="BL600" s="126"/>
      <c r="BM600" s="126"/>
      <c r="BN600" s="110" t="s">
        <v>798</v>
      </c>
    </row>
    <row r="601" spans="1:66" s="8" customFormat="1" ht="12.75" customHeight="1" x14ac:dyDescent="0.25">
      <c r="A601" s="150">
        <v>545</v>
      </c>
      <c r="B601" s="150">
        <v>3</v>
      </c>
      <c r="C601" s="90">
        <v>1</v>
      </c>
      <c r="D601" s="111" t="s">
        <v>113</v>
      </c>
      <c r="E601" s="210" t="s">
        <v>799</v>
      </c>
      <c r="F601" s="150" t="s">
        <v>32</v>
      </c>
      <c r="G601" s="150" t="s">
        <v>15</v>
      </c>
      <c r="H601" s="150" t="s">
        <v>182</v>
      </c>
      <c r="I601" s="150" t="s">
        <v>800</v>
      </c>
      <c r="J601" s="151">
        <v>45539</v>
      </c>
      <c r="K601" s="135" t="s">
        <v>122</v>
      </c>
      <c r="L601" s="135">
        <v>261005967</v>
      </c>
      <c r="M601" s="151">
        <v>45540</v>
      </c>
      <c r="N601" s="152">
        <v>45539.788194444445</v>
      </c>
      <c r="O601" s="152">
        <v>45539.788194444445</v>
      </c>
      <c r="P601" s="152">
        <v>45539.791666666664</v>
      </c>
      <c r="Q601" s="152">
        <v>45539.989583333336</v>
      </c>
      <c r="R601" s="152" t="s">
        <v>118</v>
      </c>
      <c r="S601" s="152">
        <v>45540.03125</v>
      </c>
      <c r="T601" s="152">
        <v>45540.041666666664</v>
      </c>
      <c r="U601" s="152">
        <v>45540.177083333336</v>
      </c>
      <c r="V601" s="219">
        <f>+Q601-O601</f>
        <v>0.20138888889050577</v>
      </c>
      <c r="W601" s="203">
        <v>0.20833333333333334</v>
      </c>
      <c r="X601" s="219" t="str">
        <f>IF(VALUE(V601)&lt;=VALUE("05:00"),"00:00",VALUE(V601)-VALUE("05:00"))</f>
        <v>00:00</v>
      </c>
      <c r="Y601" s="96">
        <v>0</v>
      </c>
      <c r="Z601" s="96">
        <v>59</v>
      </c>
      <c r="AA601" s="96">
        <f t="shared" ref="AA601:AA664" si="334">+Y601+Z601</f>
        <v>59</v>
      </c>
      <c r="AB601" s="97">
        <f t="shared" ref="AB601:AB664" si="335">+AD601/AA601*Y601</f>
        <v>0</v>
      </c>
      <c r="AC601" s="97">
        <f t="shared" ref="AC601:AC664" si="336">+AD601/AA601*Z601</f>
        <v>4049.15</v>
      </c>
      <c r="AD601" s="98">
        <v>4049.15</v>
      </c>
      <c r="AE601" s="98">
        <v>4111.1000000000004</v>
      </c>
      <c r="AF601" s="98">
        <v>4120.3999999999996</v>
      </c>
      <c r="AG601" s="98">
        <f t="shared" ref="AG601:AG664" si="337">+AF601-AD601</f>
        <v>71.249999999999545</v>
      </c>
      <c r="AH601" s="99">
        <v>1484</v>
      </c>
      <c r="AI601" s="100">
        <f t="shared" ref="AI601:AI664" si="338">+AF601*AH601</f>
        <v>6114673.5999999996</v>
      </c>
      <c r="AJ601" s="100">
        <f t="shared" si="333"/>
        <v>0</v>
      </c>
      <c r="AK601" s="100">
        <v>0</v>
      </c>
      <c r="AL601" s="100">
        <v>24290</v>
      </c>
      <c r="AM601" s="100">
        <v>0</v>
      </c>
      <c r="AN601" s="100">
        <v>0</v>
      </c>
      <c r="AO601" s="100">
        <v>0</v>
      </c>
      <c r="AP601" s="100">
        <f t="shared" si="322"/>
        <v>306949</v>
      </c>
      <c r="AQ601" s="101">
        <f>ROUNDUP(SUM(AI601:AP601),0)</f>
        <v>6445913</v>
      </c>
      <c r="AR601" s="101">
        <v>0</v>
      </c>
      <c r="AS601" s="101">
        <v>0</v>
      </c>
      <c r="AT601" s="102" t="s">
        <v>33</v>
      </c>
      <c r="AU601" s="109">
        <v>3</v>
      </c>
      <c r="AV601" s="100">
        <f>11.4-8.4</f>
        <v>3</v>
      </c>
      <c r="AW601" s="105">
        <v>1</v>
      </c>
      <c r="AX601" s="216">
        <f>IFERROR((AG601/AF601)*100, "")</f>
        <v>1.729201048441888</v>
      </c>
      <c r="AY601" s="217">
        <f>ROUNDUP(AG601*AH601,0)</f>
        <v>105735</v>
      </c>
      <c r="AZ601" s="107"/>
      <c r="BA601" s="94">
        <v>45539.788194444445</v>
      </c>
      <c r="BB601" s="94">
        <v>45539.791666666664</v>
      </c>
      <c r="BC601" s="94">
        <v>45539.826388888891</v>
      </c>
      <c r="BD601" s="94">
        <v>45540.041666666664</v>
      </c>
      <c r="BE601" s="95">
        <f>+BD601-BA601</f>
        <v>0.25347222221898846</v>
      </c>
      <c r="BF601" s="95">
        <v>0</v>
      </c>
      <c r="BG601" s="95">
        <v>0.1</v>
      </c>
      <c r="BH601" s="95">
        <f t="shared" ref="BH601:BJ603" si="339">+BB601-BA601</f>
        <v>3.4722222189884633E-3</v>
      </c>
      <c r="BI601" s="95">
        <f t="shared" si="339"/>
        <v>3.4722222226264421E-2</v>
      </c>
      <c r="BJ601" s="95">
        <f t="shared" si="339"/>
        <v>0.21527777777373558</v>
      </c>
      <c r="BK601" s="95">
        <f>+BI601+BJ601</f>
        <v>0.25</v>
      </c>
      <c r="BL601" s="95">
        <f>+BE601-BH601-BF601-BG601</f>
        <v>0.15</v>
      </c>
      <c r="BM601" s="95">
        <f>IF(VALUE(BE601)&lt;=VALUE("05:00"),"00:00",VALUE(BE601)-VALUE("05:00"))</f>
        <v>4.5138888885655121E-2</v>
      </c>
      <c r="BN601" s="110"/>
    </row>
    <row r="602" spans="1:66" s="8" customFormat="1" ht="12.75" customHeight="1" x14ac:dyDescent="0.25">
      <c r="A602" s="150">
        <v>546</v>
      </c>
      <c r="B602" s="150">
        <v>4</v>
      </c>
      <c r="C602" s="90">
        <v>13</v>
      </c>
      <c r="D602" s="111" t="s">
        <v>113</v>
      </c>
      <c r="E602" s="210" t="s">
        <v>667</v>
      </c>
      <c r="F602" s="150" t="s">
        <v>27</v>
      </c>
      <c r="G602" s="150" t="s">
        <v>12</v>
      </c>
      <c r="H602" s="150" t="s">
        <v>115</v>
      </c>
      <c r="I602" s="150" t="s">
        <v>801</v>
      </c>
      <c r="J602" s="151">
        <v>45540</v>
      </c>
      <c r="K602" s="135" t="s">
        <v>117</v>
      </c>
      <c r="L602" s="135">
        <v>282001015</v>
      </c>
      <c r="M602" s="151">
        <v>45541</v>
      </c>
      <c r="N602" s="152">
        <v>45540.427083333336</v>
      </c>
      <c r="O602" s="152">
        <v>45540.427083333336</v>
      </c>
      <c r="P602" s="152">
        <v>45540.430555555555</v>
      </c>
      <c r="Q602" s="152">
        <v>45540.635416666664</v>
      </c>
      <c r="R602" s="152" t="s">
        <v>118</v>
      </c>
      <c r="S602" s="152" t="s">
        <v>118</v>
      </c>
      <c r="T602" s="152">
        <v>45540.701388888891</v>
      </c>
      <c r="U602" s="152">
        <v>45540.770833333336</v>
      </c>
      <c r="V602" s="219">
        <f>+Q602-O602</f>
        <v>0.20833333332848269</v>
      </c>
      <c r="W602" s="203">
        <v>0.20833333333333334</v>
      </c>
      <c r="X602" s="219" t="str">
        <f>IF(VALUE(V602)&lt;=VALUE("05:00"),"00:00",VALUE(V602)-VALUE("05:00"))</f>
        <v>00:00</v>
      </c>
      <c r="Y602" s="96">
        <v>0</v>
      </c>
      <c r="Z602" s="96">
        <v>59</v>
      </c>
      <c r="AA602" s="96">
        <f t="shared" si="334"/>
        <v>59</v>
      </c>
      <c r="AB602" s="97">
        <f t="shared" si="335"/>
        <v>0</v>
      </c>
      <c r="AC602" s="97">
        <f t="shared" si="336"/>
        <v>4057.67</v>
      </c>
      <c r="AD602" s="98">
        <v>4057.67</v>
      </c>
      <c r="AE602" s="98">
        <v>4103.2</v>
      </c>
      <c r="AF602" s="98">
        <v>4114</v>
      </c>
      <c r="AG602" s="98">
        <f t="shared" si="337"/>
        <v>56.329999999999927</v>
      </c>
      <c r="AH602" s="99">
        <v>1586.7</v>
      </c>
      <c r="AI602" s="100">
        <f t="shared" si="338"/>
        <v>6527683.7999999998</v>
      </c>
      <c r="AJ602" s="100">
        <f t="shared" si="333"/>
        <v>0</v>
      </c>
      <c r="AK602" s="100">
        <v>0</v>
      </c>
      <c r="AL602" s="100">
        <v>24290</v>
      </c>
      <c r="AM602" s="100">
        <v>0</v>
      </c>
      <c r="AN602" s="100">
        <v>0</v>
      </c>
      <c r="AO602" s="100">
        <f>IFERROR(AF602*20+(((AJ602/AH602)/2)*20),0)</f>
        <v>82280</v>
      </c>
      <c r="AP602" s="100">
        <f t="shared" si="322"/>
        <v>331713</v>
      </c>
      <c r="AQ602" s="101">
        <f>ROUNDUP(SUM(AI602:AP602),0)</f>
        <v>6965967</v>
      </c>
      <c r="AR602" s="101">
        <v>0</v>
      </c>
      <c r="AS602" s="101">
        <v>0</v>
      </c>
      <c r="AT602" s="102" t="s">
        <v>33</v>
      </c>
      <c r="AU602" s="109">
        <v>3</v>
      </c>
      <c r="AV602" s="100">
        <f>12.4-9.9</f>
        <v>2.5</v>
      </c>
      <c r="AW602" s="105">
        <v>0</v>
      </c>
      <c r="AX602" s="216">
        <f>IFERROR((AG602/AF602)*100, "")</f>
        <v>1.3692270296548352</v>
      </c>
      <c r="AY602" s="217">
        <f>ROUNDUP(AG602*AH602,0)</f>
        <v>89379</v>
      </c>
      <c r="AZ602" s="107"/>
      <c r="BA602" s="94">
        <v>45540.420138888891</v>
      </c>
      <c r="BB602" s="94">
        <v>45540.423611111109</v>
      </c>
      <c r="BC602" s="94">
        <v>45540.423611111109</v>
      </c>
      <c r="BD602" s="94">
        <v>45540.645833333336</v>
      </c>
      <c r="BE602" s="95">
        <f>+BD602-BA602</f>
        <v>0.22569444444525288</v>
      </c>
      <c r="BF602" s="95">
        <v>4.4444444444444446E-2</v>
      </c>
      <c r="BG602" s="95">
        <v>6.1111111111111109E-2</v>
      </c>
      <c r="BH602" s="95">
        <f t="shared" si="339"/>
        <v>3.4722222189884633E-3</v>
      </c>
      <c r="BI602" s="95">
        <f t="shared" si="339"/>
        <v>0</v>
      </c>
      <c r="BJ602" s="95">
        <f t="shared" si="339"/>
        <v>0.22222222222626442</v>
      </c>
      <c r="BK602" s="95">
        <f>+BI602+BJ602</f>
        <v>0.22222222222626442</v>
      </c>
      <c r="BL602" s="95">
        <f>+BE602-BH602-BF602-BG602</f>
        <v>0.11666666667070885</v>
      </c>
      <c r="BM602" s="95">
        <f>IF(VALUE(BE602)&lt;=VALUE("05:00"),"00:00",VALUE(BE602)-VALUE("05:00"))</f>
        <v>1.7361111111919542E-2</v>
      </c>
      <c r="BN602" s="110"/>
    </row>
    <row r="603" spans="1:66" s="8" customFormat="1" ht="12.75" customHeight="1" x14ac:dyDescent="0.25">
      <c r="A603" s="115">
        <v>547</v>
      </c>
      <c r="B603" s="115">
        <v>5</v>
      </c>
      <c r="C603" s="90">
        <v>6</v>
      </c>
      <c r="D603" s="115" t="s">
        <v>113</v>
      </c>
      <c r="E603" s="210" t="s">
        <v>759</v>
      </c>
      <c r="F603" s="115" t="s">
        <v>29</v>
      </c>
      <c r="G603" s="115" t="s">
        <v>8</v>
      </c>
      <c r="H603" s="115" t="s">
        <v>124</v>
      </c>
      <c r="I603" s="115" t="s">
        <v>802</v>
      </c>
      <c r="J603" s="117"/>
      <c r="K603" s="116" t="s">
        <v>122</v>
      </c>
      <c r="L603" s="116">
        <v>261005968</v>
      </c>
      <c r="M603" s="117">
        <v>45541</v>
      </c>
      <c r="N603" s="118">
        <v>45540.680555555555</v>
      </c>
      <c r="O603" s="118">
        <v>45540.680555555555</v>
      </c>
      <c r="P603" s="118">
        <v>45540.684027777781</v>
      </c>
      <c r="Q603" s="118">
        <v>45540.875</v>
      </c>
      <c r="R603" s="118" t="s">
        <v>118</v>
      </c>
      <c r="S603" s="118" t="s">
        <v>118</v>
      </c>
      <c r="T603" s="118">
        <v>45540.9375</v>
      </c>
      <c r="U603" s="118">
        <v>45541.073611111111</v>
      </c>
      <c r="V603" s="119">
        <f>+Q603-O603</f>
        <v>0.19444444444525288</v>
      </c>
      <c r="W603" s="119">
        <v>0.20833333333333334</v>
      </c>
      <c r="X603" s="119" t="str">
        <f>IF(VALUE(V603)&lt;=VALUE("05:00"),"00:00",VALUE(V603)-VALUE("05:00"))</f>
        <v>00:00</v>
      </c>
      <c r="Y603" s="96">
        <v>0</v>
      </c>
      <c r="Z603" s="96">
        <v>33</v>
      </c>
      <c r="AA603" s="96">
        <f t="shared" si="334"/>
        <v>33</v>
      </c>
      <c r="AB603" s="97">
        <f t="shared" si="335"/>
        <v>0</v>
      </c>
      <c r="AC603" s="97">
        <f t="shared" si="336"/>
        <v>2229.96</v>
      </c>
      <c r="AD603" s="98">
        <f>3872.78-1642.82</f>
        <v>2229.96</v>
      </c>
      <c r="AE603" s="98">
        <f>3964.4-1670.4</f>
        <v>2294</v>
      </c>
      <c r="AF603" s="98">
        <f>3965-1671</f>
        <v>2294</v>
      </c>
      <c r="AG603" s="98">
        <f t="shared" si="337"/>
        <v>64.039999999999964</v>
      </c>
      <c r="AH603" s="99">
        <v>797.2</v>
      </c>
      <c r="AI603" s="100">
        <f t="shared" si="338"/>
        <v>1828776.8</v>
      </c>
      <c r="AJ603" s="100">
        <f t="shared" si="333"/>
        <v>0</v>
      </c>
      <c r="AK603" s="100">
        <v>0</v>
      </c>
      <c r="AL603" s="100">
        <v>0</v>
      </c>
      <c r="AM603" s="100">
        <v>0</v>
      </c>
      <c r="AN603" s="100">
        <v>0</v>
      </c>
      <c r="AO603" s="100">
        <v>0</v>
      </c>
      <c r="AP603" s="100">
        <f>ROUNDUP(SUM(AI603:AO603)*5%,0)-1</f>
        <v>91438</v>
      </c>
      <c r="AQ603" s="101">
        <f>ROUNDUP(SUM(AI603:AP603),0)-1</f>
        <v>1920214</v>
      </c>
      <c r="AR603" s="101">
        <v>0</v>
      </c>
      <c r="AS603" s="101">
        <v>0</v>
      </c>
      <c r="AT603" s="231" t="s">
        <v>34</v>
      </c>
      <c r="AU603" s="232" t="s">
        <v>118</v>
      </c>
      <c r="AV603" s="233">
        <v>0</v>
      </c>
      <c r="AW603" s="105">
        <v>0</v>
      </c>
      <c r="AX603" s="140">
        <f>IFERROR(((AG603+AG604)/(AF603+AF604))*100, "")</f>
        <v>2.3258511979823462</v>
      </c>
      <c r="AY603" s="141">
        <f>ROUNDUP((AG603+AG604)*AH603,0)</f>
        <v>73518</v>
      </c>
      <c r="AZ603" s="107"/>
      <c r="BA603" s="118">
        <v>45540.670138888891</v>
      </c>
      <c r="BB603" s="118">
        <v>45540.673611111109</v>
      </c>
      <c r="BC603" s="118">
        <v>45540.673611111109</v>
      </c>
      <c r="BD603" s="118">
        <v>45540.815972222219</v>
      </c>
      <c r="BE603" s="119">
        <f>+BD603-BA603</f>
        <v>0.14583333332848269</v>
      </c>
      <c r="BF603" s="119">
        <v>0</v>
      </c>
      <c r="BG603" s="119">
        <v>0</v>
      </c>
      <c r="BH603" s="119">
        <f t="shared" si="339"/>
        <v>3.4722222189884633E-3</v>
      </c>
      <c r="BI603" s="119">
        <f t="shared" si="339"/>
        <v>0</v>
      </c>
      <c r="BJ603" s="119">
        <f t="shared" si="339"/>
        <v>0.14236111110949423</v>
      </c>
      <c r="BK603" s="119">
        <f>+BI603+BJ603</f>
        <v>0.14236111110949423</v>
      </c>
      <c r="BL603" s="119">
        <f>+BE603-BH603-BF603-BG603</f>
        <v>0.14236111110949423</v>
      </c>
      <c r="BM603" s="119" t="str">
        <f>IF(VALUE(BE603)&lt;=VALUE("05:00"),"00:00",VALUE(BE603)-VALUE("05:00"))</f>
        <v>00:00</v>
      </c>
      <c r="BN603" s="110" t="s">
        <v>803</v>
      </c>
    </row>
    <row r="604" spans="1:66" s="8" customFormat="1" ht="12.75" customHeight="1" x14ac:dyDescent="0.25">
      <c r="A604" s="122"/>
      <c r="B604" s="122"/>
      <c r="C604" s="90">
        <v>20</v>
      </c>
      <c r="D604" s="122"/>
      <c r="E604" s="210" t="s">
        <v>551</v>
      </c>
      <c r="F604" s="122"/>
      <c r="G604" s="122"/>
      <c r="H604" s="122"/>
      <c r="I604" s="122"/>
      <c r="J604" s="124"/>
      <c r="K604" s="123"/>
      <c r="L604" s="123"/>
      <c r="M604" s="124"/>
      <c r="N604" s="125"/>
      <c r="O604" s="125"/>
      <c r="P604" s="125"/>
      <c r="Q604" s="125"/>
      <c r="R604" s="125"/>
      <c r="S604" s="125"/>
      <c r="T604" s="125"/>
      <c r="U604" s="125"/>
      <c r="V604" s="126"/>
      <c r="W604" s="126"/>
      <c r="X604" s="126"/>
      <c r="Y604" s="96">
        <v>0</v>
      </c>
      <c r="Z604" s="96">
        <v>24</v>
      </c>
      <c r="AA604" s="96">
        <f t="shared" si="334"/>
        <v>24</v>
      </c>
      <c r="AB604" s="97">
        <f t="shared" si="335"/>
        <v>0</v>
      </c>
      <c r="AC604" s="97">
        <f t="shared" si="336"/>
        <v>1642.8200000000002</v>
      </c>
      <c r="AD604" s="98">
        <v>1642.82</v>
      </c>
      <c r="AE604" s="98">
        <v>1670.4</v>
      </c>
      <c r="AF604" s="98">
        <v>1671</v>
      </c>
      <c r="AG604" s="98">
        <f t="shared" si="337"/>
        <v>28.180000000000064</v>
      </c>
      <c r="AH604" s="99">
        <v>797.2</v>
      </c>
      <c r="AI604" s="100">
        <f t="shared" si="338"/>
        <v>1332121.2000000002</v>
      </c>
      <c r="AJ604" s="100">
        <f t="shared" si="333"/>
        <v>0</v>
      </c>
      <c r="AK604" s="100">
        <v>0</v>
      </c>
      <c r="AL604" s="100">
        <v>0</v>
      </c>
      <c r="AM604" s="100">
        <v>0</v>
      </c>
      <c r="AN604" s="100">
        <v>0</v>
      </c>
      <c r="AO604" s="100">
        <v>0</v>
      </c>
      <c r="AP604" s="100">
        <f t="shared" ref="AP604:AP635" si="340">ROUNDUP(SUM(AI604:AO604)*5%,0)</f>
        <v>66607</v>
      </c>
      <c r="AQ604" s="101">
        <f t="shared" ref="AQ604:AQ625" si="341">ROUNDUP(SUM(AI604:AP604),0)</f>
        <v>1398729</v>
      </c>
      <c r="AR604" s="101">
        <v>0</v>
      </c>
      <c r="AS604" s="101">
        <v>0</v>
      </c>
      <c r="AT604" s="231"/>
      <c r="AU604" s="232"/>
      <c r="AV604" s="233"/>
      <c r="AW604" s="105">
        <v>0</v>
      </c>
      <c r="AX604" s="144"/>
      <c r="AY604" s="145"/>
      <c r="AZ604" s="107"/>
      <c r="BA604" s="125"/>
      <c r="BB604" s="125"/>
      <c r="BC604" s="125"/>
      <c r="BD604" s="125"/>
      <c r="BE604" s="126"/>
      <c r="BF604" s="126"/>
      <c r="BG604" s="126"/>
      <c r="BH604" s="126"/>
      <c r="BI604" s="126"/>
      <c r="BJ604" s="126"/>
      <c r="BK604" s="126"/>
      <c r="BL604" s="126"/>
      <c r="BM604" s="126"/>
      <c r="BN604" s="110" t="s">
        <v>804</v>
      </c>
    </row>
    <row r="605" spans="1:66" s="8" customFormat="1" ht="12.75" customHeight="1" x14ac:dyDescent="0.25">
      <c r="A605" s="150">
        <v>548</v>
      </c>
      <c r="B605" s="150">
        <v>6</v>
      </c>
      <c r="C605" s="90">
        <v>21</v>
      </c>
      <c r="D605" s="111" t="s">
        <v>113</v>
      </c>
      <c r="E605" s="210" t="s">
        <v>711</v>
      </c>
      <c r="F605" s="150" t="s">
        <v>32</v>
      </c>
      <c r="G605" s="150" t="s">
        <v>8</v>
      </c>
      <c r="H605" s="150" t="s">
        <v>805</v>
      </c>
      <c r="I605" s="150" t="s">
        <v>806</v>
      </c>
      <c r="J605" s="151">
        <v>45540</v>
      </c>
      <c r="K605" s="135" t="s">
        <v>117</v>
      </c>
      <c r="L605" s="135">
        <v>261005969</v>
      </c>
      <c r="M605" s="151">
        <v>45541</v>
      </c>
      <c r="N605" s="152">
        <v>45541.104166666664</v>
      </c>
      <c r="O605" s="152">
        <v>45541.104166666664</v>
      </c>
      <c r="P605" s="152">
        <v>45541.111111111109</v>
      </c>
      <c r="Q605" s="152">
        <v>45541.302083333336</v>
      </c>
      <c r="R605" s="152" t="s">
        <v>118</v>
      </c>
      <c r="S605" s="152" t="s">
        <v>118</v>
      </c>
      <c r="T605" s="152">
        <v>45541.326388888891</v>
      </c>
      <c r="U605" s="152">
        <v>45541.416666666664</v>
      </c>
      <c r="V605" s="219">
        <f t="shared" ref="V605:V626" si="342">+Q605-O605</f>
        <v>0.19791666667151731</v>
      </c>
      <c r="W605" s="203">
        <v>0.20833333333333334</v>
      </c>
      <c r="X605" s="219" t="str">
        <f t="shared" ref="X605:X626" si="343">IF(VALUE(V605)&lt;=VALUE("05:00"),"00:00",VALUE(V605)-VALUE("05:00"))</f>
        <v>00:00</v>
      </c>
      <c r="Y605" s="96">
        <v>0</v>
      </c>
      <c r="Z605" s="96">
        <v>58</v>
      </c>
      <c r="AA605" s="96">
        <f t="shared" si="334"/>
        <v>58</v>
      </c>
      <c r="AB605" s="97">
        <f t="shared" si="335"/>
        <v>0</v>
      </c>
      <c r="AC605" s="97">
        <f t="shared" si="336"/>
        <v>3920.9899999999993</v>
      </c>
      <c r="AD605" s="98">
        <v>3920.99</v>
      </c>
      <c r="AE605" s="98">
        <v>4026.6</v>
      </c>
      <c r="AF605" s="98">
        <v>4027.8</v>
      </c>
      <c r="AG605" s="98">
        <f t="shared" si="337"/>
        <v>106.8100000000004</v>
      </c>
      <c r="AH605" s="99">
        <v>1435.6</v>
      </c>
      <c r="AI605" s="100">
        <f t="shared" si="338"/>
        <v>5782309.6799999997</v>
      </c>
      <c r="AJ605" s="100">
        <f t="shared" si="333"/>
        <v>0</v>
      </c>
      <c r="AK605" s="100">
        <v>0</v>
      </c>
      <c r="AL605" s="100">
        <v>0</v>
      </c>
      <c r="AM605" s="100">
        <v>0</v>
      </c>
      <c r="AN605" s="100">
        <v>0</v>
      </c>
      <c r="AO605" s="100">
        <v>0</v>
      </c>
      <c r="AP605" s="100">
        <f t="shared" si="340"/>
        <v>289116</v>
      </c>
      <c r="AQ605" s="101">
        <f t="shared" si="341"/>
        <v>6071426</v>
      </c>
      <c r="AR605" s="101">
        <v>0</v>
      </c>
      <c r="AS605" s="101">
        <v>0</v>
      </c>
      <c r="AT605" s="234" t="s">
        <v>34</v>
      </c>
      <c r="AU605" s="235" t="s">
        <v>118</v>
      </c>
      <c r="AV605" s="222">
        <v>0</v>
      </c>
      <c r="AW605" s="105">
        <v>0</v>
      </c>
      <c r="AX605" s="216">
        <f t="shared" ref="AX605:AX625" si="344">IFERROR((AG605/AF605)*100, "")</f>
        <v>2.6518198520284124</v>
      </c>
      <c r="AY605" s="217">
        <f t="shared" ref="AY605:AY625" si="345">ROUNDUP(AG605*AH605,0)</f>
        <v>153337</v>
      </c>
      <c r="AZ605" s="107"/>
      <c r="BA605" s="94">
        <v>45541.104166666664</v>
      </c>
      <c r="BB605" s="94">
        <v>45541.111111111109</v>
      </c>
      <c r="BC605" s="94">
        <v>45541.111111111109</v>
      </c>
      <c r="BD605" s="94">
        <v>45541.288194444445</v>
      </c>
      <c r="BE605" s="95">
        <f t="shared" ref="BE605:BE626" si="346">+BD605-BA605</f>
        <v>0.18402777778101154</v>
      </c>
      <c r="BF605" s="95">
        <v>0</v>
      </c>
      <c r="BG605" s="95">
        <v>0</v>
      </c>
      <c r="BH605" s="95">
        <f t="shared" ref="BH605:BJ626" si="347">+BB605-BA605</f>
        <v>6.9444444452528842E-3</v>
      </c>
      <c r="BI605" s="95">
        <f t="shared" si="347"/>
        <v>0</v>
      </c>
      <c r="BJ605" s="95">
        <f t="shared" si="347"/>
        <v>0.17708333333575865</v>
      </c>
      <c r="BK605" s="95">
        <f t="shared" ref="BK605:BK626" si="348">+BI605+BJ605</f>
        <v>0.17708333333575865</v>
      </c>
      <c r="BL605" s="95">
        <f t="shared" ref="BL605:BL626" si="349">+BE605-BH605-BF605-BG605</f>
        <v>0.17708333333575865</v>
      </c>
      <c r="BM605" s="95" t="str">
        <f t="shared" ref="BM605:BM626" si="350">IF(VALUE(BE605)&lt;=VALUE("05:00"),"00:00",VALUE(BE605)-VALUE("05:00"))</f>
        <v>00:00</v>
      </c>
      <c r="BN605" s="110"/>
    </row>
    <row r="606" spans="1:66" s="8" customFormat="1" ht="12.75" customHeight="1" x14ac:dyDescent="0.25">
      <c r="A606" s="150">
        <v>549</v>
      </c>
      <c r="B606" s="150">
        <v>7</v>
      </c>
      <c r="C606" s="90">
        <v>14</v>
      </c>
      <c r="D606" s="111" t="s">
        <v>113</v>
      </c>
      <c r="E606" s="210" t="s">
        <v>667</v>
      </c>
      <c r="F606" s="150" t="s">
        <v>27</v>
      </c>
      <c r="G606" s="150" t="s">
        <v>12</v>
      </c>
      <c r="H606" s="150" t="s">
        <v>115</v>
      </c>
      <c r="I606" s="150" t="s">
        <v>807</v>
      </c>
      <c r="J606" s="151">
        <v>45541</v>
      </c>
      <c r="K606" s="135" t="s">
        <v>117</v>
      </c>
      <c r="L606" s="135">
        <v>282001016</v>
      </c>
      <c r="M606" s="151">
        <v>45542</v>
      </c>
      <c r="N606" s="152">
        <v>45541.819444444445</v>
      </c>
      <c r="O606" s="152">
        <v>45541.819444444445</v>
      </c>
      <c r="P606" s="152">
        <v>45541.826388888891</v>
      </c>
      <c r="Q606" s="152">
        <v>45541.993055555555</v>
      </c>
      <c r="R606" s="152" t="s">
        <v>118</v>
      </c>
      <c r="S606" s="152">
        <v>45542.0625</v>
      </c>
      <c r="T606" s="152">
        <v>45542.069444444445</v>
      </c>
      <c r="U606" s="152">
        <v>45542.163194444445</v>
      </c>
      <c r="V606" s="219">
        <f t="shared" si="342"/>
        <v>0.17361111110949423</v>
      </c>
      <c r="W606" s="203">
        <v>0.20833333333333334</v>
      </c>
      <c r="X606" s="219" t="str">
        <f t="shared" si="343"/>
        <v>00:00</v>
      </c>
      <c r="Y606" s="96">
        <v>0</v>
      </c>
      <c r="Z606" s="96">
        <v>58</v>
      </c>
      <c r="AA606" s="96">
        <f t="shared" si="334"/>
        <v>58</v>
      </c>
      <c r="AB606" s="97">
        <f t="shared" si="335"/>
        <v>0</v>
      </c>
      <c r="AC606" s="97">
        <f t="shared" si="336"/>
        <v>4013.4599999999996</v>
      </c>
      <c r="AD606" s="98">
        <v>4013.46</v>
      </c>
      <c r="AE606" s="98">
        <v>4034.6</v>
      </c>
      <c r="AF606" s="98">
        <v>4047.8</v>
      </c>
      <c r="AG606" s="98">
        <f t="shared" si="337"/>
        <v>34.340000000000146</v>
      </c>
      <c r="AH606" s="99">
        <v>1586.7</v>
      </c>
      <c r="AI606" s="100">
        <f t="shared" si="338"/>
        <v>6422644.2600000007</v>
      </c>
      <c r="AJ606" s="100">
        <f>(0.2*AH606)*2</f>
        <v>634.68000000000006</v>
      </c>
      <c r="AK606" s="100">
        <v>0</v>
      </c>
      <c r="AL606" s="100">
        <v>0</v>
      </c>
      <c r="AM606" s="100">
        <v>0</v>
      </c>
      <c r="AN606" s="100">
        <v>0</v>
      </c>
      <c r="AO606" s="100">
        <f>IFERROR(AF606*20+(((AJ606/AH606)/2)*20),0)</f>
        <v>80960</v>
      </c>
      <c r="AP606" s="100">
        <f t="shared" si="340"/>
        <v>325212</v>
      </c>
      <c r="AQ606" s="101">
        <f t="shared" si="341"/>
        <v>6829451</v>
      </c>
      <c r="AR606" s="101">
        <v>0</v>
      </c>
      <c r="AS606" s="101">
        <v>0</v>
      </c>
      <c r="AT606" s="234" t="s">
        <v>34</v>
      </c>
      <c r="AU606" s="235" t="s">
        <v>118</v>
      </c>
      <c r="AV606" s="100">
        <v>0</v>
      </c>
      <c r="AW606" s="105">
        <v>1</v>
      </c>
      <c r="AX606" s="216">
        <f t="shared" si="344"/>
        <v>0.84836207322496526</v>
      </c>
      <c r="AY606" s="217">
        <f t="shared" si="345"/>
        <v>54488</v>
      </c>
      <c r="AZ606" s="107"/>
      <c r="BA606" s="94">
        <v>45541.819444444445</v>
      </c>
      <c r="BB606" s="94">
        <v>45541.826388888891</v>
      </c>
      <c r="BC606" s="94">
        <v>45541.826388888891</v>
      </c>
      <c r="BD606" s="94">
        <v>45542.027777777781</v>
      </c>
      <c r="BE606" s="95">
        <f t="shared" si="346"/>
        <v>0.20833333333575865</v>
      </c>
      <c r="BF606" s="95">
        <v>2.7777777777777776E-2</v>
      </c>
      <c r="BG606" s="95">
        <v>3.888888888888889E-2</v>
      </c>
      <c r="BH606" s="95">
        <f t="shared" si="347"/>
        <v>6.9444444452528842E-3</v>
      </c>
      <c r="BI606" s="95">
        <f t="shared" si="347"/>
        <v>0</v>
      </c>
      <c r="BJ606" s="95">
        <f t="shared" si="347"/>
        <v>0.20138888889050577</v>
      </c>
      <c r="BK606" s="95">
        <f t="shared" si="348"/>
        <v>0.20138888889050577</v>
      </c>
      <c r="BL606" s="95">
        <f t="shared" si="349"/>
        <v>0.13472222222383909</v>
      </c>
      <c r="BM606" s="95">
        <f t="shared" si="350"/>
        <v>2.4253099528692701E-12</v>
      </c>
      <c r="BN606" s="110"/>
    </row>
    <row r="607" spans="1:66" s="8" customFormat="1" ht="12.75" customHeight="1" x14ac:dyDescent="0.25">
      <c r="A607" s="150">
        <v>550</v>
      </c>
      <c r="B607" s="150">
        <v>8</v>
      </c>
      <c r="C607" s="90">
        <v>22</v>
      </c>
      <c r="D607" s="111" t="s">
        <v>113</v>
      </c>
      <c r="E607" s="210" t="s">
        <v>711</v>
      </c>
      <c r="F607" s="150" t="s">
        <v>32</v>
      </c>
      <c r="G607" s="150" t="s">
        <v>8</v>
      </c>
      <c r="H607" s="150" t="s">
        <v>805</v>
      </c>
      <c r="I607" s="150" t="s">
        <v>808</v>
      </c>
      <c r="J607" s="151">
        <v>45541</v>
      </c>
      <c r="K607" s="135" t="s">
        <v>122</v>
      </c>
      <c r="L607" s="135">
        <v>261005970</v>
      </c>
      <c r="M607" s="151">
        <v>45542</v>
      </c>
      <c r="N607" s="152">
        <v>45542.010416666664</v>
      </c>
      <c r="O607" s="152">
        <v>45542.010416666664</v>
      </c>
      <c r="P607" s="152">
        <v>45542.013888888891</v>
      </c>
      <c r="Q607" s="152">
        <v>45542.208333333336</v>
      </c>
      <c r="R607" s="152" t="s">
        <v>118</v>
      </c>
      <c r="S607" s="152" t="s">
        <v>118</v>
      </c>
      <c r="T607" s="152">
        <v>45542.302083333336</v>
      </c>
      <c r="U607" s="152">
        <v>45542.400694444441</v>
      </c>
      <c r="V607" s="219">
        <f t="shared" si="342"/>
        <v>0.19791666667151731</v>
      </c>
      <c r="W607" s="203">
        <v>0.20833333333333334</v>
      </c>
      <c r="X607" s="219" t="str">
        <f t="shared" si="343"/>
        <v>00:00</v>
      </c>
      <c r="Y607" s="96">
        <v>0</v>
      </c>
      <c r="Z607" s="96">
        <v>59</v>
      </c>
      <c r="AA607" s="96">
        <f t="shared" si="334"/>
        <v>59</v>
      </c>
      <c r="AB607" s="97">
        <f t="shared" si="335"/>
        <v>0</v>
      </c>
      <c r="AC607" s="97">
        <f t="shared" si="336"/>
        <v>4022.1700000000005</v>
      </c>
      <c r="AD607" s="98">
        <v>4022.17</v>
      </c>
      <c r="AE607" s="98">
        <v>4090.8</v>
      </c>
      <c r="AF607" s="98">
        <v>4092.8</v>
      </c>
      <c r="AG607" s="98">
        <f t="shared" si="337"/>
        <v>70.630000000000109</v>
      </c>
      <c r="AH607" s="99">
        <v>1435.6</v>
      </c>
      <c r="AI607" s="100">
        <f t="shared" si="338"/>
        <v>5875623.6799999997</v>
      </c>
      <c r="AJ607" s="100">
        <f>(0*AH607)*2</f>
        <v>0</v>
      </c>
      <c r="AK607" s="100">
        <v>0</v>
      </c>
      <c r="AL607" s="100">
        <v>0</v>
      </c>
      <c r="AM607" s="100">
        <v>0</v>
      </c>
      <c r="AN607" s="100">
        <v>0</v>
      </c>
      <c r="AO607" s="100">
        <v>0</v>
      </c>
      <c r="AP607" s="100">
        <f t="shared" si="340"/>
        <v>293782</v>
      </c>
      <c r="AQ607" s="101">
        <f t="shared" si="341"/>
        <v>6169406</v>
      </c>
      <c r="AR607" s="101">
        <v>0</v>
      </c>
      <c r="AS607" s="101">
        <v>0</v>
      </c>
      <c r="AT607" s="102" t="s">
        <v>33</v>
      </c>
      <c r="AU607" s="235" t="s">
        <v>118</v>
      </c>
      <c r="AV607" s="100">
        <v>0</v>
      </c>
      <c r="AW607" s="105">
        <v>0</v>
      </c>
      <c r="AX607" s="216">
        <f t="shared" si="344"/>
        <v>1.7257134480062573</v>
      </c>
      <c r="AY607" s="217">
        <f t="shared" si="345"/>
        <v>101397</v>
      </c>
      <c r="AZ607" s="107"/>
      <c r="BA607" s="94">
        <v>45542.010416666664</v>
      </c>
      <c r="BB607" s="94">
        <v>45542.013888888891</v>
      </c>
      <c r="BC607" s="94">
        <v>45542.0625</v>
      </c>
      <c r="BD607" s="94">
        <v>45542.19027777778</v>
      </c>
      <c r="BE607" s="95">
        <f t="shared" si="346"/>
        <v>0.179861111115315</v>
      </c>
      <c r="BF607" s="95">
        <v>2.0833333333333332E-2</v>
      </c>
      <c r="BG607" s="95">
        <v>2.7777777777777776E-2</v>
      </c>
      <c r="BH607" s="95">
        <f t="shared" si="347"/>
        <v>3.4722222262644209E-3</v>
      </c>
      <c r="BI607" s="95">
        <f t="shared" si="347"/>
        <v>4.8611111109494232E-2</v>
      </c>
      <c r="BJ607" s="95">
        <f t="shared" si="347"/>
        <v>0.12777777777955635</v>
      </c>
      <c r="BK607" s="95">
        <f t="shared" si="348"/>
        <v>0.17638888888905058</v>
      </c>
      <c r="BL607" s="95">
        <f t="shared" si="349"/>
        <v>0.12777777777793947</v>
      </c>
      <c r="BM607" s="95" t="str">
        <f t="shared" si="350"/>
        <v>00:00</v>
      </c>
      <c r="BN607" s="110"/>
    </row>
    <row r="608" spans="1:66" s="8" customFormat="1" ht="12.75" customHeight="1" x14ac:dyDescent="0.25">
      <c r="A608" s="150">
        <v>551</v>
      </c>
      <c r="B608" s="150">
        <v>9</v>
      </c>
      <c r="C608" s="90">
        <v>11</v>
      </c>
      <c r="D608" s="111" t="s">
        <v>148</v>
      </c>
      <c r="E608" s="210" t="s">
        <v>766</v>
      </c>
      <c r="F608" s="150" t="s">
        <v>16</v>
      </c>
      <c r="G608" s="150" t="s">
        <v>17</v>
      </c>
      <c r="H608" s="150" t="s">
        <v>150</v>
      </c>
      <c r="I608" s="150" t="s">
        <v>809</v>
      </c>
      <c r="J608" s="151">
        <v>45532</v>
      </c>
      <c r="K608" s="135" t="s">
        <v>117</v>
      </c>
      <c r="L608" s="135">
        <v>461000457</v>
      </c>
      <c r="M608" s="151">
        <v>45542</v>
      </c>
      <c r="N608" s="152">
        <v>45542.395833333336</v>
      </c>
      <c r="O608" s="152">
        <v>45542.395833333336</v>
      </c>
      <c r="P608" s="152">
        <v>45542.399305555555</v>
      </c>
      <c r="Q608" s="152">
        <v>45542.604166666664</v>
      </c>
      <c r="R608" s="152" t="s">
        <v>118</v>
      </c>
      <c r="S608" s="152" t="s">
        <v>118</v>
      </c>
      <c r="T608" s="152">
        <v>45542.625</v>
      </c>
      <c r="U608" s="152">
        <v>45542.739583333336</v>
      </c>
      <c r="V608" s="219">
        <f t="shared" si="342"/>
        <v>0.20833333332848269</v>
      </c>
      <c r="W608" s="203">
        <v>0.20833333333333334</v>
      </c>
      <c r="X608" s="219" t="str">
        <f t="shared" si="343"/>
        <v>00:00</v>
      </c>
      <c r="Y608" s="96">
        <v>0</v>
      </c>
      <c r="Z608" s="96">
        <v>59</v>
      </c>
      <c r="AA608" s="96">
        <f t="shared" si="334"/>
        <v>59</v>
      </c>
      <c r="AB608" s="97">
        <f t="shared" si="335"/>
        <v>0</v>
      </c>
      <c r="AC608" s="97">
        <f t="shared" si="336"/>
        <v>4004.81</v>
      </c>
      <c r="AD608" s="98">
        <v>4004.81</v>
      </c>
      <c r="AE608" s="98">
        <v>4102.2</v>
      </c>
      <c r="AF608" s="98">
        <v>4107.3999999999996</v>
      </c>
      <c r="AG608" s="98">
        <f t="shared" si="337"/>
        <v>102.58999999999969</v>
      </c>
      <c r="AH608" s="99">
        <v>672.5</v>
      </c>
      <c r="AI608" s="100">
        <f t="shared" si="338"/>
        <v>2762226.4999999995</v>
      </c>
      <c r="AJ608" s="100">
        <f>(0*AH608)*2</f>
        <v>0</v>
      </c>
      <c r="AK608" s="100">
        <v>0</v>
      </c>
      <c r="AL608" s="100">
        <v>24290</v>
      </c>
      <c r="AM608" s="100">
        <v>0</v>
      </c>
      <c r="AN608" s="100">
        <v>0</v>
      </c>
      <c r="AO608" s="100">
        <v>0</v>
      </c>
      <c r="AP608" s="100">
        <f t="shared" si="340"/>
        <v>139326</v>
      </c>
      <c r="AQ608" s="101">
        <f t="shared" si="341"/>
        <v>2925843</v>
      </c>
      <c r="AR608" s="101">
        <v>0</v>
      </c>
      <c r="AS608" s="101">
        <v>0</v>
      </c>
      <c r="AT608" s="102" t="s">
        <v>33</v>
      </c>
      <c r="AU608" s="109">
        <v>3</v>
      </c>
      <c r="AV608" s="100">
        <f>8-4.5</f>
        <v>3.5</v>
      </c>
      <c r="AW608" s="105">
        <v>0</v>
      </c>
      <c r="AX608" s="216">
        <f t="shared" si="344"/>
        <v>2.4976871013293005</v>
      </c>
      <c r="AY608" s="217">
        <f t="shared" si="345"/>
        <v>68992</v>
      </c>
      <c r="AZ608" s="107"/>
      <c r="BA608" s="94">
        <v>45542.378472222219</v>
      </c>
      <c r="BB608" s="94">
        <v>45542.381944444445</v>
      </c>
      <c r="BC608" s="94">
        <v>45542.381944444445</v>
      </c>
      <c r="BD608" s="94">
        <v>45542.599305555559</v>
      </c>
      <c r="BE608" s="95">
        <f t="shared" si="346"/>
        <v>0.22083333334012423</v>
      </c>
      <c r="BF608" s="95">
        <v>6.3888888888888884E-2</v>
      </c>
      <c r="BG608" s="95">
        <v>0</v>
      </c>
      <c r="BH608" s="95">
        <f t="shared" si="347"/>
        <v>3.4722222262644209E-3</v>
      </c>
      <c r="BI608" s="95">
        <f t="shared" si="347"/>
        <v>0</v>
      </c>
      <c r="BJ608" s="95">
        <f t="shared" si="347"/>
        <v>0.21736111111385981</v>
      </c>
      <c r="BK608" s="95">
        <f t="shared" si="348"/>
        <v>0.21736111111385981</v>
      </c>
      <c r="BL608" s="95">
        <f t="shared" si="349"/>
        <v>0.15347222222497092</v>
      </c>
      <c r="BM608" s="95">
        <f t="shared" si="350"/>
        <v>1.2500000006790885E-2</v>
      </c>
      <c r="BN608" s="110"/>
    </row>
    <row r="609" spans="1:66" s="8" customFormat="1" ht="12.75" customHeight="1" x14ac:dyDescent="0.25">
      <c r="A609" s="150">
        <v>552</v>
      </c>
      <c r="B609" s="150">
        <v>10</v>
      </c>
      <c r="C609" s="90">
        <v>23</v>
      </c>
      <c r="D609" s="111" t="s">
        <v>113</v>
      </c>
      <c r="E609" s="210" t="s">
        <v>711</v>
      </c>
      <c r="F609" s="150" t="s">
        <v>32</v>
      </c>
      <c r="G609" s="150" t="s">
        <v>8</v>
      </c>
      <c r="H609" s="150" t="s">
        <v>779</v>
      </c>
      <c r="I609" s="150" t="s">
        <v>810</v>
      </c>
      <c r="J609" s="151">
        <v>45542</v>
      </c>
      <c r="K609" s="135" t="s">
        <v>122</v>
      </c>
      <c r="L609" s="135">
        <v>281000238</v>
      </c>
      <c r="M609" s="151">
        <v>45543</v>
      </c>
      <c r="N609" s="152">
        <v>45542.729166666664</v>
      </c>
      <c r="O609" s="152">
        <v>45542.729166666664</v>
      </c>
      <c r="P609" s="152">
        <v>45542.732638888891</v>
      </c>
      <c r="Q609" s="152">
        <v>45542.927083333336</v>
      </c>
      <c r="R609" s="152" t="s">
        <v>118</v>
      </c>
      <c r="S609" s="152" t="s">
        <v>118</v>
      </c>
      <c r="T609" s="152">
        <v>45542.96875</v>
      </c>
      <c r="U609" s="152">
        <v>45543.157638888886</v>
      </c>
      <c r="V609" s="219">
        <f t="shared" si="342"/>
        <v>0.19791666667151731</v>
      </c>
      <c r="W609" s="203">
        <v>0.20833333333333334</v>
      </c>
      <c r="X609" s="219" t="str">
        <f t="shared" si="343"/>
        <v>00:00</v>
      </c>
      <c r="Y609" s="96">
        <v>0</v>
      </c>
      <c r="Z609" s="96">
        <v>58</v>
      </c>
      <c r="AA609" s="96">
        <f t="shared" si="334"/>
        <v>58</v>
      </c>
      <c r="AB609" s="97">
        <f t="shared" si="335"/>
        <v>0</v>
      </c>
      <c r="AC609" s="97">
        <f t="shared" si="336"/>
        <v>3963.49</v>
      </c>
      <c r="AD609" s="98">
        <v>3963.49</v>
      </c>
      <c r="AE609" s="98">
        <v>4032.6</v>
      </c>
      <c r="AF609" s="98">
        <v>4034</v>
      </c>
      <c r="AG609" s="98">
        <f t="shared" si="337"/>
        <v>70.510000000000218</v>
      </c>
      <c r="AH609" s="99">
        <v>1435.6</v>
      </c>
      <c r="AI609" s="100">
        <f t="shared" si="338"/>
        <v>5791210.3999999994</v>
      </c>
      <c r="AJ609" s="100">
        <f>(0.4*AH609)*2</f>
        <v>1148.48</v>
      </c>
      <c r="AK609" s="100">
        <v>0</v>
      </c>
      <c r="AL609" s="100">
        <v>0</v>
      </c>
      <c r="AM609" s="100">
        <v>0</v>
      </c>
      <c r="AN609" s="100">
        <v>0</v>
      </c>
      <c r="AO609" s="100">
        <v>0</v>
      </c>
      <c r="AP609" s="100">
        <f t="shared" si="340"/>
        <v>289618</v>
      </c>
      <c r="AQ609" s="101">
        <f t="shared" si="341"/>
        <v>6081977</v>
      </c>
      <c r="AR609" s="101">
        <v>0</v>
      </c>
      <c r="AS609" s="101">
        <v>0</v>
      </c>
      <c r="AT609" s="102" t="s">
        <v>34</v>
      </c>
      <c r="AU609" s="109" t="s">
        <v>118</v>
      </c>
      <c r="AV609" s="100">
        <v>0</v>
      </c>
      <c r="AW609" s="105">
        <v>0</v>
      </c>
      <c r="AX609" s="216">
        <f t="shared" si="344"/>
        <v>1.747892910262772</v>
      </c>
      <c r="AY609" s="217">
        <f t="shared" si="345"/>
        <v>101225</v>
      </c>
      <c r="AZ609" s="107"/>
      <c r="BA609" s="94">
        <v>45542.711805555555</v>
      </c>
      <c r="BB609" s="94">
        <v>45542.715277777781</v>
      </c>
      <c r="BC609" s="94">
        <v>45542.715277777781</v>
      </c>
      <c r="BD609" s="94">
        <v>45542.875</v>
      </c>
      <c r="BE609" s="95">
        <f t="shared" si="346"/>
        <v>0.16319444444525288</v>
      </c>
      <c r="BF609" s="95">
        <v>1.9444444444444445E-2</v>
      </c>
      <c r="BG609" s="95">
        <v>3.472222222222222E-3</v>
      </c>
      <c r="BH609" s="95">
        <f t="shared" si="347"/>
        <v>3.4722222262644209E-3</v>
      </c>
      <c r="BI609" s="95">
        <f t="shared" si="347"/>
        <v>0</v>
      </c>
      <c r="BJ609" s="95">
        <f t="shared" si="347"/>
        <v>0.15972222221898846</v>
      </c>
      <c r="BK609" s="95">
        <f t="shared" si="348"/>
        <v>0.15972222221898846</v>
      </c>
      <c r="BL609" s="95">
        <f t="shared" si="349"/>
        <v>0.13680555555232182</v>
      </c>
      <c r="BM609" s="95" t="str">
        <f t="shared" si="350"/>
        <v>00:00</v>
      </c>
      <c r="BN609" s="110"/>
    </row>
    <row r="610" spans="1:66" s="8" customFormat="1" ht="12.75" customHeight="1" x14ac:dyDescent="0.25">
      <c r="A610" s="150">
        <v>553</v>
      </c>
      <c r="B610" s="150">
        <v>11</v>
      </c>
      <c r="C610" s="90">
        <v>24</v>
      </c>
      <c r="D610" s="111" t="s">
        <v>113</v>
      </c>
      <c r="E610" s="210" t="s">
        <v>711</v>
      </c>
      <c r="F610" s="150" t="s">
        <v>32</v>
      </c>
      <c r="G610" s="150" t="s">
        <v>8</v>
      </c>
      <c r="H610" s="150" t="s">
        <v>182</v>
      </c>
      <c r="I610" s="150" t="s">
        <v>811</v>
      </c>
      <c r="J610" s="151">
        <v>45542</v>
      </c>
      <c r="K610" s="135" t="s">
        <v>117</v>
      </c>
      <c r="L610" s="135">
        <v>261005973</v>
      </c>
      <c r="M610" s="151">
        <v>45543</v>
      </c>
      <c r="N610" s="152">
        <v>45543.135416666664</v>
      </c>
      <c r="O610" s="152">
        <v>45543.135416666664</v>
      </c>
      <c r="P610" s="152">
        <v>45543.142361111109</v>
      </c>
      <c r="Q610" s="152">
        <v>45543.635416666664</v>
      </c>
      <c r="R610" s="152" t="s">
        <v>118</v>
      </c>
      <c r="S610" s="152">
        <v>45543.760416666664</v>
      </c>
      <c r="T610" s="152">
        <v>45543.791666666664</v>
      </c>
      <c r="U610" s="152">
        <v>45543.935416666667</v>
      </c>
      <c r="V610" s="219">
        <f t="shared" si="342"/>
        <v>0.5</v>
      </c>
      <c r="W610" s="203">
        <v>0.20833333333333334</v>
      </c>
      <c r="X610" s="219">
        <f t="shared" si="343"/>
        <v>0.29166666666666663</v>
      </c>
      <c r="Y610" s="96">
        <v>46</v>
      </c>
      <c r="Z610" s="96">
        <v>13</v>
      </c>
      <c r="AA610" s="96">
        <f t="shared" si="334"/>
        <v>59</v>
      </c>
      <c r="AB610" s="97">
        <f t="shared" si="335"/>
        <v>3085.555254237288</v>
      </c>
      <c r="AC610" s="97">
        <f t="shared" si="336"/>
        <v>872.00474576271188</v>
      </c>
      <c r="AD610" s="98">
        <v>3957.56</v>
      </c>
      <c r="AE610" s="98">
        <v>4105.1000000000004</v>
      </c>
      <c r="AF610" s="98">
        <v>4105.3999999999996</v>
      </c>
      <c r="AG610" s="98">
        <f t="shared" si="337"/>
        <v>147.83999999999969</v>
      </c>
      <c r="AH610" s="99">
        <v>1484</v>
      </c>
      <c r="AI610" s="100">
        <f t="shared" si="338"/>
        <v>6092413.5999999996</v>
      </c>
      <c r="AJ610" s="100">
        <f t="shared" ref="AJ610:AJ615" si="351">(0*AH610)*2</f>
        <v>0</v>
      </c>
      <c r="AK610" s="100">
        <v>0</v>
      </c>
      <c r="AL610" s="100">
        <v>0</v>
      </c>
      <c r="AM610" s="100">
        <v>0</v>
      </c>
      <c r="AN610" s="100">
        <v>0</v>
      </c>
      <c r="AO610" s="100">
        <v>0</v>
      </c>
      <c r="AP610" s="100">
        <f t="shared" si="340"/>
        <v>304621</v>
      </c>
      <c r="AQ610" s="101">
        <f t="shared" si="341"/>
        <v>6397035</v>
      </c>
      <c r="AR610" s="101">
        <v>0</v>
      </c>
      <c r="AS610" s="101">
        <v>0</v>
      </c>
      <c r="AT610" s="102" t="s">
        <v>34</v>
      </c>
      <c r="AU610" s="109" t="s">
        <v>118</v>
      </c>
      <c r="AV610" s="100">
        <v>0</v>
      </c>
      <c r="AW610" s="105">
        <v>3</v>
      </c>
      <c r="AX610" s="216">
        <f t="shared" si="344"/>
        <v>3.6011107322063549</v>
      </c>
      <c r="AY610" s="217">
        <f t="shared" si="345"/>
        <v>219395</v>
      </c>
      <c r="AZ610" s="107"/>
      <c r="BA610" s="94">
        <v>45543.135416666664</v>
      </c>
      <c r="BB610" s="94">
        <v>45543.142361111109</v>
      </c>
      <c r="BC610" s="94">
        <v>45543.142361111109</v>
      </c>
      <c r="BD610" s="94">
        <v>45543.177777777775</v>
      </c>
      <c r="BE610" s="95">
        <f t="shared" si="346"/>
        <v>4.2361111110949423E-2</v>
      </c>
      <c r="BF610" s="95">
        <v>0</v>
      </c>
      <c r="BG610" s="95">
        <v>0</v>
      </c>
      <c r="BH610" s="95">
        <f t="shared" si="347"/>
        <v>6.9444444452528842E-3</v>
      </c>
      <c r="BI610" s="95">
        <f t="shared" si="347"/>
        <v>0</v>
      </c>
      <c r="BJ610" s="95">
        <f t="shared" si="347"/>
        <v>3.5416666665696539E-2</v>
      </c>
      <c r="BK610" s="95">
        <f t="shared" si="348"/>
        <v>3.5416666665696539E-2</v>
      </c>
      <c r="BL610" s="95">
        <f t="shared" si="349"/>
        <v>3.5416666665696539E-2</v>
      </c>
      <c r="BM610" s="95" t="str">
        <f t="shared" si="350"/>
        <v>00:00</v>
      </c>
      <c r="BN610" s="110" t="s">
        <v>812</v>
      </c>
    </row>
    <row r="611" spans="1:66" s="8" customFormat="1" ht="12.75" customHeight="1" x14ac:dyDescent="0.25">
      <c r="A611" s="150">
        <v>554</v>
      </c>
      <c r="B611" s="150">
        <v>12</v>
      </c>
      <c r="C611" s="90">
        <v>12</v>
      </c>
      <c r="D611" s="111" t="s">
        <v>148</v>
      </c>
      <c r="E611" s="210" t="s">
        <v>766</v>
      </c>
      <c r="F611" s="150" t="s">
        <v>16</v>
      </c>
      <c r="G611" s="150" t="s">
        <v>17</v>
      </c>
      <c r="H611" s="150" t="s">
        <v>150</v>
      </c>
      <c r="I611" s="150" t="s">
        <v>813</v>
      </c>
      <c r="J611" s="151">
        <v>45532</v>
      </c>
      <c r="K611" s="135" t="s">
        <v>122</v>
      </c>
      <c r="L611" s="135">
        <v>461000458</v>
      </c>
      <c r="M611" s="151">
        <v>45545</v>
      </c>
      <c r="N611" s="152">
        <v>45544.625</v>
      </c>
      <c r="O611" s="152">
        <v>45544.625</v>
      </c>
      <c r="P611" s="152">
        <v>45544.628472222219</v>
      </c>
      <c r="Q611" s="152">
        <v>45544.833333333336</v>
      </c>
      <c r="R611" s="152" t="s">
        <v>118</v>
      </c>
      <c r="S611" s="152" t="s">
        <v>118</v>
      </c>
      <c r="T611" s="152">
        <v>45544.9375</v>
      </c>
      <c r="U611" s="152">
        <v>45545.017361111109</v>
      </c>
      <c r="V611" s="219">
        <f t="shared" si="342"/>
        <v>0.20833333333575865</v>
      </c>
      <c r="W611" s="203">
        <v>0.20833333333333334</v>
      </c>
      <c r="X611" s="219">
        <f t="shared" si="343"/>
        <v>2.4253099528692701E-12</v>
      </c>
      <c r="Y611" s="96">
        <v>0</v>
      </c>
      <c r="Z611" s="96">
        <v>59</v>
      </c>
      <c r="AA611" s="96">
        <f t="shared" si="334"/>
        <v>59</v>
      </c>
      <c r="AB611" s="97">
        <f t="shared" si="335"/>
        <v>0</v>
      </c>
      <c r="AC611" s="97">
        <f t="shared" si="336"/>
        <v>3893.9699999999993</v>
      </c>
      <c r="AD611" s="98">
        <v>3893.97</v>
      </c>
      <c r="AE611" s="98">
        <v>4101.3999999999996</v>
      </c>
      <c r="AF611" s="98">
        <v>4101.3999999999996</v>
      </c>
      <c r="AG611" s="98">
        <f t="shared" si="337"/>
        <v>207.42999999999984</v>
      </c>
      <c r="AH611" s="99">
        <v>672.5</v>
      </c>
      <c r="AI611" s="100">
        <f t="shared" si="338"/>
        <v>2758191.4999999995</v>
      </c>
      <c r="AJ611" s="100">
        <f t="shared" si="351"/>
        <v>0</v>
      </c>
      <c r="AK611" s="100">
        <v>0</v>
      </c>
      <c r="AL611" s="100">
        <v>0</v>
      </c>
      <c r="AM611" s="100">
        <v>0</v>
      </c>
      <c r="AN611" s="100">
        <v>0</v>
      </c>
      <c r="AO611" s="100">
        <v>0</v>
      </c>
      <c r="AP611" s="100">
        <f t="shared" si="340"/>
        <v>137910</v>
      </c>
      <c r="AQ611" s="101">
        <f t="shared" si="341"/>
        <v>2896102</v>
      </c>
      <c r="AR611" s="101">
        <v>0</v>
      </c>
      <c r="AS611" s="101">
        <v>0</v>
      </c>
      <c r="AT611" s="102" t="s">
        <v>34</v>
      </c>
      <c r="AU611" s="109" t="s">
        <v>118</v>
      </c>
      <c r="AV611" s="100">
        <v>0</v>
      </c>
      <c r="AW611" s="105">
        <v>0</v>
      </c>
      <c r="AX611" s="216">
        <f t="shared" si="344"/>
        <v>5.0575413273516325</v>
      </c>
      <c r="AY611" s="217">
        <f t="shared" si="345"/>
        <v>139497</v>
      </c>
      <c r="AZ611" s="107"/>
      <c r="BA611" s="94">
        <v>45544.614583333336</v>
      </c>
      <c r="BB611" s="94">
        <v>45544.618055555555</v>
      </c>
      <c r="BC611" s="94">
        <v>45544.618055555555</v>
      </c>
      <c r="BD611" s="94">
        <v>45544.842361111114</v>
      </c>
      <c r="BE611" s="95">
        <f t="shared" si="346"/>
        <v>0.22777777777810115</v>
      </c>
      <c r="BF611" s="95">
        <v>3.888888888888889E-2</v>
      </c>
      <c r="BG611" s="95">
        <v>0</v>
      </c>
      <c r="BH611" s="95">
        <f t="shared" si="347"/>
        <v>3.4722222189884633E-3</v>
      </c>
      <c r="BI611" s="95">
        <f t="shared" si="347"/>
        <v>0</v>
      </c>
      <c r="BJ611" s="95">
        <f t="shared" si="347"/>
        <v>0.22430555555911269</v>
      </c>
      <c r="BK611" s="95">
        <f t="shared" si="348"/>
        <v>0.22430555555911269</v>
      </c>
      <c r="BL611" s="95">
        <f t="shared" si="349"/>
        <v>0.1854166666702238</v>
      </c>
      <c r="BM611" s="95">
        <f t="shared" si="350"/>
        <v>1.9444444444767811E-2</v>
      </c>
      <c r="BN611" s="110"/>
    </row>
    <row r="612" spans="1:66" s="8" customFormat="1" ht="12.75" customHeight="1" x14ac:dyDescent="0.25">
      <c r="A612" s="150">
        <v>555</v>
      </c>
      <c r="B612" s="150">
        <v>13</v>
      </c>
      <c r="C612" s="90">
        <v>13</v>
      </c>
      <c r="D612" s="111" t="s">
        <v>148</v>
      </c>
      <c r="E612" s="210" t="s">
        <v>766</v>
      </c>
      <c r="F612" s="150" t="s">
        <v>16</v>
      </c>
      <c r="G612" s="150" t="s">
        <v>17</v>
      </c>
      <c r="H612" s="150" t="s">
        <v>150</v>
      </c>
      <c r="I612" s="150" t="s">
        <v>814</v>
      </c>
      <c r="J612" s="151">
        <v>45532</v>
      </c>
      <c r="K612" s="135" t="s">
        <v>117</v>
      </c>
      <c r="L612" s="135">
        <v>461000459</v>
      </c>
      <c r="M612" s="151">
        <v>45545</v>
      </c>
      <c r="N612" s="152">
        <v>45544.8125</v>
      </c>
      <c r="O612" s="152">
        <v>45544.8125</v>
      </c>
      <c r="P612" s="152">
        <v>45544.815972222219</v>
      </c>
      <c r="Q612" s="152">
        <v>45544.993055555555</v>
      </c>
      <c r="R612" s="152" t="s">
        <v>118</v>
      </c>
      <c r="S612" s="152">
        <v>45545.09375</v>
      </c>
      <c r="T612" s="152">
        <v>45545.104166666664</v>
      </c>
      <c r="U612" s="152">
        <v>45545.222222222219</v>
      </c>
      <c r="V612" s="219">
        <f t="shared" si="342"/>
        <v>0.18055555555474712</v>
      </c>
      <c r="W612" s="203">
        <v>0.20833333333333334</v>
      </c>
      <c r="X612" s="219" t="str">
        <f t="shared" si="343"/>
        <v>00:00</v>
      </c>
      <c r="Y612" s="96">
        <v>2</v>
      </c>
      <c r="Z612" s="96">
        <v>55</v>
      </c>
      <c r="AA612" s="96">
        <f t="shared" si="334"/>
        <v>57</v>
      </c>
      <c r="AB612" s="97">
        <f t="shared" si="335"/>
        <v>135.73333333333335</v>
      </c>
      <c r="AC612" s="97">
        <f t="shared" si="336"/>
        <v>3732.666666666667</v>
      </c>
      <c r="AD612" s="98">
        <v>3868.4</v>
      </c>
      <c r="AE612" s="98">
        <v>3990</v>
      </c>
      <c r="AF612" s="98">
        <v>3992</v>
      </c>
      <c r="AG612" s="98">
        <f t="shared" si="337"/>
        <v>123.59999999999991</v>
      </c>
      <c r="AH612" s="99">
        <v>672.5</v>
      </c>
      <c r="AI612" s="100">
        <f t="shared" si="338"/>
        <v>2684620</v>
      </c>
      <c r="AJ612" s="100">
        <f t="shared" si="351"/>
        <v>0</v>
      </c>
      <c r="AK612" s="100">
        <v>0</v>
      </c>
      <c r="AL612" s="100">
        <v>0</v>
      </c>
      <c r="AM612" s="100">
        <v>0</v>
      </c>
      <c r="AN612" s="100">
        <v>0</v>
      </c>
      <c r="AO612" s="100">
        <v>0</v>
      </c>
      <c r="AP612" s="100">
        <f t="shared" si="340"/>
        <v>134231</v>
      </c>
      <c r="AQ612" s="101">
        <f t="shared" si="341"/>
        <v>2818851</v>
      </c>
      <c r="AR612" s="101">
        <v>0</v>
      </c>
      <c r="AS612" s="101">
        <v>0</v>
      </c>
      <c r="AT612" s="102" t="s">
        <v>34</v>
      </c>
      <c r="AU612" s="109" t="s">
        <v>118</v>
      </c>
      <c r="AV612" s="100">
        <v>0</v>
      </c>
      <c r="AW612" s="105">
        <v>2</v>
      </c>
      <c r="AX612" s="216">
        <f t="shared" si="344"/>
        <v>3.096192384769537</v>
      </c>
      <c r="AY612" s="217">
        <f t="shared" si="345"/>
        <v>83121</v>
      </c>
      <c r="AZ612" s="107"/>
      <c r="BA612" s="94">
        <v>45544.8125</v>
      </c>
      <c r="BB612" s="94">
        <v>45544.815972222219</v>
      </c>
      <c r="BC612" s="94">
        <v>45544.88958333333</v>
      </c>
      <c r="BD612" s="94">
        <v>45545.02847222222</v>
      </c>
      <c r="BE612" s="95">
        <f t="shared" si="346"/>
        <v>0.21597222222044365</v>
      </c>
      <c r="BF612" s="95">
        <v>1.7361111111111112E-2</v>
      </c>
      <c r="BG612" s="95">
        <v>3.1944444444444442E-2</v>
      </c>
      <c r="BH612" s="95">
        <f t="shared" si="347"/>
        <v>3.4722222189884633E-3</v>
      </c>
      <c r="BI612" s="95">
        <f t="shared" si="347"/>
        <v>7.3611111110949423E-2</v>
      </c>
      <c r="BJ612" s="95">
        <f t="shared" si="347"/>
        <v>0.13888888889050577</v>
      </c>
      <c r="BK612" s="95">
        <f t="shared" si="348"/>
        <v>0.21250000000145519</v>
      </c>
      <c r="BL612" s="95">
        <f t="shared" si="349"/>
        <v>0.16319444444589964</v>
      </c>
      <c r="BM612" s="95">
        <f t="shared" si="350"/>
        <v>7.6388888871103122E-3</v>
      </c>
      <c r="BN612" s="110"/>
    </row>
    <row r="613" spans="1:66" s="8" customFormat="1" ht="12.75" customHeight="1" x14ac:dyDescent="0.25">
      <c r="A613" s="150">
        <v>556</v>
      </c>
      <c r="B613" s="150">
        <v>14</v>
      </c>
      <c r="C613" s="90">
        <v>25</v>
      </c>
      <c r="D613" s="111" t="s">
        <v>113</v>
      </c>
      <c r="E613" s="210" t="s">
        <v>711</v>
      </c>
      <c r="F613" s="150" t="s">
        <v>32</v>
      </c>
      <c r="G613" s="150" t="s">
        <v>8</v>
      </c>
      <c r="H613" s="150" t="s">
        <v>805</v>
      </c>
      <c r="I613" s="150" t="s">
        <v>815</v>
      </c>
      <c r="J613" s="151">
        <v>45544</v>
      </c>
      <c r="K613" s="135" t="s">
        <v>122</v>
      </c>
      <c r="L613" s="135">
        <v>261005976</v>
      </c>
      <c r="M613" s="151">
        <v>45545</v>
      </c>
      <c r="N613" s="152">
        <v>45545.083333333336</v>
      </c>
      <c r="O613" s="152">
        <v>45545.083333333336</v>
      </c>
      <c r="P613" s="152">
        <v>45545.086805555555</v>
      </c>
      <c r="Q613" s="152">
        <v>45545.291666666664</v>
      </c>
      <c r="R613" s="152" t="s">
        <v>118</v>
      </c>
      <c r="S613" s="152" t="s">
        <v>118</v>
      </c>
      <c r="T613" s="152">
        <v>45545.333333333336</v>
      </c>
      <c r="U613" s="152">
        <v>45545.458333333336</v>
      </c>
      <c r="V613" s="219">
        <f t="shared" si="342"/>
        <v>0.20833333332848269</v>
      </c>
      <c r="W613" s="203">
        <v>0.20833333333333334</v>
      </c>
      <c r="X613" s="219" t="str">
        <f t="shared" si="343"/>
        <v>00:00</v>
      </c>
      <c r="Y613" s="96">
        <v>0</v>
      </c>
      <c r="Z613" s="96">
        <v>59</v>
      </c>
      <c r="AA613" s="96">
        <f t="shared" si="334"/>
        <v>59</v>
      </c>
      <c r="AB613" s="97">
        <f t="shared" si="335"/>
        <v>0</v>
      </c>
      <c r="AC613" s="97">
        <f t="shared" si="336"/>
        <v>4075.0199999999995</v>
      </c>
      <c r="AD613" s="98">
        <v>4075.02</v>
      </c>
      <c r="AE613" s="98">
        <v>4102.1000000000004</v>
      </c>
      <c r="AF613" s="98">
        <v>4118.8</v>
      </c>
      <c r="AG613" s="98">
        <f t="shared" si="337"/>
        <v>43.7800000000002</v>
      </c>
      <c r="AH613" s="99">
        <v>1435.6</v>
      </c>
      <c r="AI613" s="100">
        <f t="shared" si="338"/>
        <v>5912949.2800000003</v>
      </c>
      <c r="AJ613" s="100">
        <f t="shared" si="351"/>
        <v>0</v>
      </c>
      <c r="AK613" s="100">
        <v>0</v>
      </c>
      <c r="AL613" s="100">
        <v>24290</v>
      </c>
      <c r="AM613" s="100">
        <v>0</v>
      </c>
      <c r="AN613" s="100">
        <v>0</v>
      </c>
      <c r="AO613" s="100">
        <v>0</v>
      </c>
      <c r="AP613" s="100">
        <f t="shared" si="340"/>
        <v>296862</v>
      </c>
      <c r="AQ613" s="101">
        <f t="shared" si="341"/>
        <v>6234102</v>
      </c>
      <c r="AR613" s="101">
        <v>0</v>
      </c>
      <c r="AS613" s="101">
        <v>0</v>
      </c>
      <c r="AT613" s="102" t="s">
        <v>34</v>
      </c>
      <c r="AU613" s="109">
        <v>11</v>
      </c>
      <c r="AV613" s="100">
        <f>26.69-14.19</f>
        <v>12.500000000000002</v>
      </c>
      <c r="AW613" s="105">
        <v>0</v>
      </c>
      <c r="AX613" s="216">
        <f t="shared" si="344"/>
        <v>1.0629309507623628</v>
      </c>
      <c r="AY613" s="217">
        <f t="shared" si="345"/>
        <v>62851</v>
      </c>
      <c r="AZ613" s="107"/>
      <c r="BA613" s="94">
        <v>45545.083333333336</v>
      </c>
      <c r="BB613" s="94">
        <v>45545.086805555555</v>
      </c>
      <c r="BC613" s="94">
        <v>45545.086805555555</v>
      </c>
      <c r="BD613" s="94">
        <v>45545.242361111108</v>
      </c>
      <c r="BE613" s="95">
        <f t="shared" si="346"/>
        <v>0.15902777777228039</v>
      </c>
      <c r="BF613" s="95">
        <v>1.4583333333333334E-2</v>
      </c>
      <c r="BG613" s="95">
        <v>0</v>
      </c>
      <c r="BH613" s="95">
        <f t="shared" si="347"/>
        <v>3.4722222189884633E-3</v>
      </c>
      <c r="BI613" s="95">
        <f t="shared" si="347"/>
        <v>0</v>
      </c>
      <c r="BJ613" s="95">
        <f t="shared" si="347"/>
        <v>0.15555555555329192</v>
      </c>
      <c r="BK613" s="95">
        <f t="shared" si="348"/>
        <v>0.15555555555329192</v>
      </c>
      <c r="BL613" s="95">
        <f t="shared" si="349"/>
        <v>0.14097222221995859</v>
      </c>
      <c r="BM613" s="95" t="str">
        <f t="shared" si="350"/>
        <v>00:00</v>
      </c>
      <c r="BN613" s="110"/>
    </row>
    <row r="614" spans="1:66" s="8" customFormat="1" ht="12.75" customHeight="1" x14ac:dyDescent="0.25">
      <c r="A614" s="150">
        <v>557</v>
      </c>
      <c r="B614" s="150">
        <v>15</v>
      </c>
      <c r="C614" s="90">
        <v>15</v>
      </c>
      <c r="D614" s="111" t="s">
        <v>113</v>
      </c>
      <c r="E614" s="210" t="s">
        <v>667</v>
      </c>
      <c r="F614" s="150" t="s">
        <v>27</v>
      </c>
      <c r="G614" s="150" t="s">
        <v>12</v>
      </c>
      <c r="H614" s="150" t="s">
        <v>115</v>
      </c>
      <c r="I614" s="150" t="s">
        <v>816</v>
      </c>
      <c r="J614" s="151">
        <v>45544</v>
      </c>
      <c r="K614" s="135" t="s">
        <v>117</v>
      </c>
      <c r="L614" s="135">
        <v>282001017</v>
      </c>
      <c r="M614" s="151">
        <v>45545</v>
      </c>
      <c r="N614" s="152">
        <v>45545.270833333336</v>
      </c>
      <c r="O614" s="152">
        <v>45545.270833333336</v>
      </c>
      <c r="P614" s="152">
        <v>45545.28125</v>
      </c>
      <c r="Q614" s="152">
        <v>45545.479166666664</v>
      </c>
      <c r="R614" s="152" t="s">
        <v>118</v>
      </c>
      <c r="S614" s="152">
        <v>45545.5625</v>
      </c>
      <c r="T614" s="152">
        <v>45545.604166666664</v>
      </c>
      <c r="U614" s="152">
        <v>45545.711805555555</v>
      </c>
      <c r="V614" s="219">
        <f t="shared" si="342"/>
        <v>0.20833333332848269</v>
      </c>
      <c r="W614" s="203">
        <v>0.20833333333333334</v>
      </c>
      <c r="X614" s="219" t="str">
        <f t="shared" si="343"/>
        <v>00:00</v>
      </c>
      <c r="Y614" s="96">
        <v>0</v>
      </c>
      <c r="Z614" s="96">
        <v>59</v>
      </c>
      <c r="AA614" s="96">
        <f t="shared" si="334"/>
        <v>59</v>
      </c>
      <c r="AB614" s="97">
        <f t="shared" si="335"/>
        <v>0</v>
      </c>
      <c r="AC614" s="97">
        <f t="shared" si="336"/>
        <v>4074.84</v>
      </c>
      <c r="AD614" s="98">
        <v>4074.84</v>
      </c>
      <c r="AE614" s="98">
        <v>4087.1</v>
      </c>
      <c r="AF614" s="98">
        <v>4101.6000000000004</v>
      </c>
      <c r="AG614" s="98">
        <f t="shared" si="337"/>
        <v>26.760000000000218</v>
      </c>
      <c r="AH614" s="99">
        <v>1586.7</v>
      </c>
      <c r="AI614" s="100">
        <f t="shared" si="338"/>
        <v>6508008.7200000007</v>
      </c>
      <c r="AJ614" s="100">
        <f t="shared" si="351"/>
        <v>0</v>
      </c>
      <c r="AK614" s="100">
        <v>0</v>
      </c>
      <c r="AL614" s="100">
        <v>24290</v>
      </c>
      <c r="AM614" s="100">
        <v>0</v>
      </c>
      <c r="AN614" s="100">
        <v>0</v>
      </c>
      <c r="AO614" s="100">
        <f>IFERROR(AF614*20+(((AJ614/AH614)/2)*20),0)</f>
        <v>82032</v>
      </c>
      <c r="AP614" s="100">
        <f t="shared" si="340"/>
        <v>330717</v>
      </c>
      <c r="AQ614" s="101">
        <f t="shared" si="341"/>
        <v>6945048</v>
      </c>
      <c r="AR614" s="101">
        <v>0</v>
      </c>
      <c r="AS614" s="101">
        <v>0</v>
      </c>
      <c r="AT614" s="102" t="s">
        <v>34</v>
      </c>
      <c r="AU614" s="109">
        <v>6</v>
      </c>
      <c r="AV614" s="100">
        <f>17.08-13.08</f>
        <v>3.9999999999999982</v>
      </c>
      <c r="AW614" s="105">
        <v>2</v>
      </c>
      <c r="AX614" s="216">
        <f t="shared" si="344"/>
        <v>0.65242832065535927</v>
      </c>
      <c r="AY614" s="217">
        <f t="shared" si="345"/>
        <v>42461</v>
      </c>
      <c r="AZ614" s="107"/>
      <c r="BA614" s="94">
        <v>45545.270833333336</v>
      </c>
      <c r="BB614" s="94">
        <v>45545.291666666664</v>
      </c>
      <c r="BC614" s="94">
        <v>45545.336805555555</v>
      </c>
      <c r="BD614" s="94">
        <v>45545.552777777775</v>
      </c>
      <c r="BE614" s="95">
        <f t="shared" si="346"/>
        <v>0.28194444443943212</v>
      </c>
      <c r="BF614" s="95">
        <v>6.8750000000000006E-2</v>
      </c>
      <c r="BG614" s="95">
        <v>5.486111111111111E-2</v>
      </c>
      <c r="BH614" s="95">
        <f t="shared" si="347"/>
        <v>2.0833333328482695E-2</v>
      </c>
      <c r="BI614" s="95">
        <f t="shared" si="347"/>
        <v>4.5138888890505768E-2</v>
      </c>
      <c r="BJ614" s="95">
        <f t="shared" si="347"/>
        <v>0.21597222222044365</v>
      </c>
      <c r="BK614" s="95">
        <f t="shared" si="348"/>
        <v>0.26111111111094942</v>
      </c>
      <c r="BL614" s="95">
        <f t="shared" si="349"/>
        <v>0.13749999999983831</v>
      </c>
      <c r="BM614" s="95">
        <f t="shared" si="350"/>
        <v>7.3611111106098776E-2</v>
      </c>
      <c r="BN614" s="110"/>
    </row>
    <row r="615" spans="1:66" s="8" customFormat="1" ht="12.75" customHeight="1" x14ac:dyDescent="0.25">
      <c r="A615" s="150">
        <v>558</v>
      </c>
      <c r="B615" s="150">
        <v>16</v>
      </c>
      <c r="C615" s="90">
        <v>14</v>
      </c>
      <c r="D615" s="111" t="s">
        <v>148</v>
      </c>
      <c r="E615" s="210" t="s">
        <v>766</v>
      </c>
      <c r="F615" s="150" t="s">
        <v>16</v>
      </c>
      <c r="G615" s="150" t="s">
        <v>17</v>
      </c>
      <c r="H615" s="150" t="s">
        <v>150</v>
      </c>
      <c r="I615" s="150" t="s">
        <v>817</v>
      </c>
      <c r="J615" s="151">
        <v>45545</v>
      </c>
      <c r="K615" s="135" t="s">
        <v>122</v>
      </c>
      <c r="L615" s="135">
        <v>461000460</v>
      </c>
      <c r="M615" s="151">
        <v>45545</v>
      </c>
      <c r="N615" s="152">
        <v>45545.5625</v>
      </c>
      <c r="O615" s="152">
        <v>45545.5625</v>
      </c>
      <c r="P615" s="152">
        <v>45545.565972222219</v>
      </c>
      <c r="Q615" s="152">
        <v>45545.770833333336</v>
      </c>
      <c r="R615" s="152" t="s">
        <v>118</v>
      </c>
      <c r="S615" s="152" t="s">
        <v>118</v>
      </c>
      <c r="T615" s="152">
        <v>45545.791666666664</v>
      </c>
      <c r="U615" s="152">
        <v>45545.885416666664</v>
      </c>
      <c r="V615" s="219">
        <f t="shared" si="342"/>
        <v>0.20833333333575865</v>
      </c>
      <c r="W615" s="203">
        <v>0.20833333333333334</v>
      </c>
      <c r="X615" s="219">
        <f t="shared" si="343"/>
        <v>2.4253099528692701E-12</v>
      </c>
      <c r="Y615" s="96">
        <v>0</v>
      </c>
      <c r="Z615" s="96">
        <v>59</v>
      </c>
      <c r="AA615" s="96">
        <f t="shared" si="334"/>
        <v>59</v>
      </c>
      <c r="AB615" s="97">
        <f t="shared" si="335"/>
        <v>0</v>
      </c>
      <c r="AC615" s="97">
        <f t="shared" si="336"/>
        <v>3995.7599999999998</v>
      </c>
      <c r="AD615" s="98">
        <v>3995.76</v>
      </c>
      <c r="AE615" s="98">
        <v>4095.9</v>
      </c>
      <c r="AF615" s="98">
        <v>4097.2</v>
      </c>
      <c r="AG615" s="98">
        <f t="shared" si="337"/>
        <v>101.4399999999996</v>
      </c>
      <c r="AH615" s="99">
        <v>672.5</v>
      </c>
      <c r="AI615" s="100">
        <f t="shared" si="338"/>
        <v>2755367</v>
      </c>
      <c r="AJ615" s="100">
        <f t="shared" si="351"/>
        <v>0</v>
      </c>
      <c r="AK615" s="100">
        <v>0</v>
      </c>
      <c r="AL615" s="100">
        <v>24290</v>
      </c>
      <c r="AM615" s="100">
        <v>0</v>
      </c>
      <c r="AN615" s="100">
        <v>0</v>
      </c>
      <c r="AO615" s="100">
        <v>0</v>
      </c>
      <c r="AP615" s="100">
        <f t="shared" si="340"/>
        <v>138983</v>
      </c>
      <c r="AQ615" s="101">
        <f t="shared" si="341"/>
        <v>2918640</v>
      </c>
      <c r="AR615" s="101">
        <v>0</v>
      </c>
      <c r="AS615" s="101">
        <v>0</v>
      </c>
      <c r="AT615" s="102" t="s">
        <v>34</v>
      </c>
      <c r="AU615" s="109">
        <v>1</v>
      </c>
      <c r="AV615" s="100">
        <f>2-1</f>
        <v>1</v>
      </c>
      <c r="AW615" s="105">
        <v>0</v>
      </c>
      <c r="AX615" s="216">
        <f t="shared" si="344"/>
        <v>2.4758371570828759</v>
      </c>
      <c r="AY615" s="217">
        <f t="shared" si="345"/>
        <v>68219</v>
      </c>
      <c r="AZ615" s="107"/>
      <c r="BA615" s="94">
        <v>45545.5625</v>
      </c>
      <c r="BB615" s="94">
        <v>45545.565972222219</v>
      </c>
      <c r="BC615" s="94">
        <v>45545.565972222219</v>
      </c>
      <c r="BD615" s="94">
        <v>45545.726388888892</v>
      </c>
      <c r="BE615" s="95">
        <f t="shared" si="346"/>
        <v>0.16388888889196096</v>
      </c>
      <c r="BF615" s="95">
        <v>0</v>
      </c>
      <c r="BG615" s="95">
        <v>0</v>
      </c>
      <c r="BH615" s="95">
        <f t="shared" si="347"/>
        <v>3.4722222189884633E-3</v>
      </c>
      <c r="BI615" s="95">
        <f t="shared" si="347"/>
        <v>0</v>
      </c>
      <c r="BJ615" s="95">
        <f t="shared" si="347"/>
        <v>0.1604166666729725</v>
      </c>
      <c r="BK615" s="95">
        <f t="shared" si="348"/>
        <v>0.1604166666729725</v>
      </c>
      <c r="BL615" s="95">
        <f t="shared" si="349"/>
        <v>0.1604166666729725</v>
      </c>
      <c r="BM615" s="95" t="str">
        <f t="shared" si="350"/>
        <v>00:00</v>
      </c>
      <c r="BN615" s="110"/>
    </row>
    <row r="616" spans="1:66" s="8" customFormat="1" ht="12.75" customHeight="1" x14ac:dyDescent="0.25">
      <c r="A616" s="150">
        <v>559</v>
      </c>
      <c r="B616" s="150">
        <v>17</v>
      </c>
      <c r="C616" s="90">
        <v>7</v>
      </c>
      <c r="D616" s="111" t="s">
        <v>113</v>
      </c>
      <c r="E616" s="210" t="s">
        <v>759</v>
      </c>
      <c r="F616" s="150" t="s">
        <v>29</v>
      </c>
      <c r="G616" s="150" t="s">
        <v>8</v>
      </c>
      <c r="H616" s="150" t="s">
        <v>124</v>
      </c>
      <c r="I616" s="150" t="s">
        <v>818</v>
      </c>
      <c r="J616" s="151">
        <v>45545</v>
      </c>
      <c r="K616" s="135" t="s">
        <v>117</v>
      </c>
      <c r="L616" s="135">
        <v>441000012</v>
      </c>
      <c r="M616" s="151">
        <v>45546</v>
      </c>
      <c r="N616" s="152">
        <v>45545.78125</v>
      </c>
      <c r="O616" s="152">
        <v>45545.78125</v>
      </c>
      <c r="P616" s="152">
        <v>45545.784722222219</v>
      </c>
      <c r="Q616" s="152">
        <v>45545.947916666664</v>
      </c>
      <c r="R616" s="152" t="s">
        <v>118</v>
      </c>
      <c r="S616" s="152" t="s">
        <v>118</v>
      </c>
      <c r="T616" s="152">
        <v>45545.979166666664</v>
      </c>
      <c r="U616" s="152">
        <v>45546.120833333334</v>
      </c>
      <c r="V616" s="219">
        <f t="shared" si="342"/>
        <v>0.16666666666424135</v>
      </c>
      <c r="W616" s="203">
        <v>0.20833333333333334</v>
      </c>
      <c r="X616" s="219" t="str">
        <f t="shared" si="343"/>
        <v>00:00</v>
      </c>
      <c r="Y616" s="96">
        <v>0</v>
      </c>
      <c r="Z616" s="96">
        <v>58</v>
      </c>
      <c r="AA616" s="96">
        <f t="shared" si="334"/>
        <v>58</v>
      </c>
      <c r="AB616" s="97">
        <f t="shared" si="335"/>
        <v>0</v>
      </c>
      <c r="AC616" s="97">
        <f t="shared" si="336"/>
        <v>4027.76</v>
      </c>
      <c r="AD616" s="98">
        <v>4027.76</v>
      </c>
      <c r="AE616" s="98">
        <v>4041.6</v>
      </c>
      <c r="AF616" s="98">
        <v>4054.8</v>
      </c>
      <c r="AG616" s="98">
        <f t="shared" si="337"/>
        <v>27.039999999999964</v>
      </c>
      <c r="AH616" s="99">
        <v>797.2</v>
      </c>
      <c r="AI616" s="100">
        <f t="shared" si="338"/>
        <v>3232486.5600000005</v>
      </c>
      <c r="AJ616" s="100">
        <f>(0.4*AH616)*2</f>
        <v>637.7600000000001</v>
      </c>
      <c r="AK616" s="100">
        <v>0</v>
      </c>
      <c r="AL616" s="100">
        <v>0</v>
      </c>
      <c r="AM616" s="100">
        <v>0</v>
      </c>
      <c r="AN616" s="100">
        <v>0</v>
      </c>
      <c r="AO616" s="100">
        <v>0</v>
      </c>
      <c r="AP616" s="100">
        <f t="shared" si="340"/>
        <v>161657</v>
      </c>
      <c r="AQ616" s="101">
        <f t="shared" si="341"/>
        <v>3394782</v>
      </c>
      <c r="AR616" s="101">
        <v>0</v>
      </c>
      <c r="AS616" s="101">
        <v>0</v>
      </c>
      <c r="AT616" s="102" t="s">
        <v>34</v>
      </c>
      <c r="AU616" s="109" t="s">
        <v>118</v>
      </c>
      <c r="AV616" s="100">
        <v>0</v>
      </c>
      <c r="AW616" s="105">
        <v>0</v>
      </c>
      <c r="AX616" s="216">
        <f t="shared" si="344"/>
        <v>0.66686396369734546</v>
      </c>
      <c r="AY616" s="217">
        <f t="shared" si="345"/>
        <v>21557</v>
      </c>
      <c r="AZ616" s="107"/>
      <c r="BA616" s="94">
        <v>45545.78125</v>
      </c>
      <c r="BB616" s="94">
        <v>45545.784722222219</v>
      </c>
      <c r="BC616" s="94">
        <v>45545.784722222219</v>
      </c>
      <c r="BD616" s="94">
        <v>45545.9375</v>
      </c>
      <c r="BE616" s="95">
        <f t="shared" si="346"/>
        <v>0.15625</v>
      </c>
      <c r="BF616" s="95">
        <v>0</v>
      </c>
      <c r="BG616" s="95">
        <v>4.027777777777778E-2</v>
      </c>
      <c r="BH616" s="95">
        <f t="shared" si="347"/>
        <v>3.4722222189884633E-3</v>
      </c>
      <c r="BI616" s="95">
        <f t="shared" si="347"/>
        <v>0</v>
      </c>
      <c r="BJ616" s="95">
        <f t="shared" si="347"/>
        <v>0.15277777778101154</v>
      </c>
      <c r="BK616" s="95">
        <f t="shared" si="348"/>
        <v>0.15277777778101154</v>
      </c>
      <c r="BL616" s="95">
        <f t="shared" si="349"/>
        <v>0.11250000000323376</v>
      </c>
      <c r="BM616" s="95" t="str">
        <f t="shared" si="350"/>
        <v>00:00</v>
      </c>
      <c r="BN616" s="110"/>
    </row>
    <row r="617" spans="1:66" s="8" customFormat="1" ht="12.75" customHeight="1" x14ac:dyDescent="0.25">
      <c r="A617" s="150">
        <v>560</v>
      </c>
      <c r="B617" s="150">
        <v>18</v>
      </c>
      <c r="C617" s="90">
        <v>2</v>
      </c>
      <c r="D617" s="111" t="s">
        <v>113</v>
      </c>
      <c r="E617" s="210" t="s">
        <v>799</v>
      </c>
      <c r="F617" s="150" t="s">
        <v>32</v>
      </c>
      <c r="G617" s="150" t="s">
        <v>15</v>
      </c>
      <c r="H617" s="150" t="s">
        <v>146</v>
      </c>
      <c r="I617" s="150" t="s">
        <v>819</v>
      </c>
      <c r="J617" s="151">
        <v>45546</v>
      </c>
      <c r="K617" s="135" t="s">
        <v>122</v>
      </c>
      <c r="L617" s="135">
        <v>261005977</v>
      </c>
      <c r="M617" s="151">
        <v>45546</v>
      </c>
      <c r="N617" s="152">
        <v>45546.090277777781</v>
      </c>
      <c r="O617" s="152">
        <v>45546.090277777781</v>
      </c>
      <c r="P617" s="152">
        <v>45546.09375</v>
      </c>
      <c r="Q617" s="152">
        <v>45546.291666666664</v>
      </c>
      <c r="R617" s="152" t="s">
        <v>118</v>
      </c>
      <c r="S617" s="152" t="s">
        <v>118</v>
      </c>
      <c r="T617" s="152">
        <v>45546.333333333336</v>
      </c>
      <c r="U617" s="152">
        <v>45546.416666666664</v>
      </c>
      <c r="V617" s="219">
        <f t="shared" si="342"/>
        <v>0.20138888888322981</v>
      </c>
      <c r="W617" s="203">
        <v>0.20833333333333334</v>
      </c>
      <c r="X617" s="219" t="str">
        <f t="shared" si="343"/>
        <v>00:00</v>
      </c>
      <c r="Y617" s="96">
        <v>0</v>
      </c>
      <c r="Z617" s="96">
        <v>57</v>
      </c>
      <c r="AA617" s="96">
        <f t="shared" si="334"/>
        <v>57</v>
      </c>
      <c r="AB617" s="97">
        <f t="shared" si="335"/>
        <v>0</v>
      </c>
      <c r="AC617" s="97">
        <f t="shared" si="336"/>
        <v>3785.09</v>
      </c>
      <c r="AD617" s="98">
        <v>3785.09</v>
      </c>
      <c r="AE617" s="98">
        <v>3964.3</v>
      </c>
      <c r="AF617" s="98">
        <v>3964.4</v>
      </c>
      <c r="AG617" s="98">
        <f t="shared" si="337"/>
        <v>179.30999999999995</v>
      </c>
      <c r="AH617" s="99">
        <v>1398.7</v>
      </c>
      <c r="AI617" s="100">
        <f t="shared" si="338"/>
        <v>5545006.2800000003</v>
      </c>
      <c r="AJ617" s="100">
        <f>(0*AH617)*2</f>
        <v>0</v>
      </c>
      <c r="AK617" s="100">
        <v>0</v>
      </c>
      <c r="AL617" s="100">
        <v>0</v>
      </c>
      <c r="AM617" s="100">
        <v>0</v>
      </c>
      <c r="AN617" s="100">
        <v>0</v>
      </c>
      <c r="AO617" s="100">
        <v>0</v>
      </c>
      <c r="AP617" s="100">
        <f t="shared" si="340"/>
        <v>277251</v>
      </c>
      <c r="AQ617" s="101">
        <f t="shared" si="341"/>
        <v>5822258</v>
      </c>
      <c r="AR617" s="101">
        <v>0</v>
      </c>
      <c r="AS617" s="101">
        <v>0</v>
      </c>
      <c r="AT617" s="102" t="s">
        <v>34</v>
      </c>
      <c r="AU617" s="109" t="s">
        <v>118</v>
      </c>
      <c r="AV617" s="100">
        <v>0</v>
      </c>
      <c r="AW617" s="105">
        <v>0</v>
      </c>
      <c r="AX617" s="216">
        <f t="shared" si="344"/>
        <v>4.5230047422056288</v>
      </c>
      <c r="AY617" s="217">
        <f t="shared" si="345"/>
        <v>250801</v>
      </c>
      <c r="AZ617" s="107"/>
      <c r="BA617" s="94">
        <v>45546.076388888891</v>
      </c>
      <c r="BB617" s="94">
        <v>45546.079861111109</v>
      </c>
      <c r="BC617" s="94">
        <v>45546.079861111109</v>
      </c>
      <c r="BD617" s="94">
        <v>45546.284722222219</v>
      </c>
      <c r="BE617" s="95">
        <f t="shared" si="346"/>
        <v>0.20833333332848269</v>
      </c>
      <c r="BF617" s="95">
        <v>0</v>
      </c>
      <c r="BG617" s="95">
        <v>9.166666666666666E-2</v>
      </c>
      <c r="BH617" s="95">
        <f t="shared" si="347"/>
        <v>3.4722222189884633E-3</v>
      </c>
      <c r="BI617" s="95">
        <f t="shared" si="347"/>
        <v>0</v>
      </c>
      <c r="BJ617" s="95">
        <f t="shared" si="347"/>
        <v>0.20486111110949423</v>
      </c>
      <c r="BK617" s="95">
        <f t="shared" si="348"/>
        <v>0.20486111110949423</v>
      </c>
      <c r="BL617" s="95">
        <f t="shared" si="349"/>
        <v>0.11319444444282757</v>
      </c>
      <c r="BM617" s="95" t="str">
        <f t="shared" si="350"/>
        <v>00:00</v>
      </c>
      <c r="BN617" s="110"/>
    </row>
    <row r="618" spans="1:66" s="8" customFormat="1" ht="12.75" customHeight="1" x14ac:dyDescent="0.25">
      <c r="A618" s="150">
        <v>561</v>
      </c>
      <c r="B618" s="150">
        <v>19</v>
      </c>
      <c r="C618" s="90">
        <v>16</v>
      </c>
      <c r="D618" s="111" t="s">
        <v>113</v>
      </c>
      <c r="E618" s="210" t="s">
        <v>667</v>
      </c>
      <c r="F618" s="150" t="s">
        <v>27</v>
      </c>
      <c r="G618" s="150" t="s">
        <v>12</v>
      </c>
      <c r="H618" s="150" t="s">
        <v>115</v>
      </c>
      <c r="I618" s="150" t="s">
        <v>820</v>
      </c>
      <c r="J618" s="151">
        <v>45546</v>
      </c>
      <c r="K618" s="135" t="s">
        <v>117</v>
      </c>
      <c r="L618" s="135">
        <v>282001018</v>
      </c>
      <c r="M618" s="151">
        <v>45547</v>
      </c>
      <c r="N618" s="152">
        <v>45546.493055555555</v>
      </c>
      <c r="O618" s="152">
        <v>45546.493055555555</v>
      </c>
      <c r="P618" s="152">
        <v>45546.520833333336</v>
      </c>
      <c r="Q618" s="152">
        <v>45546.701388888891</v>
      </c>
      <c r="R618" s="152" t="s">
        <v>118</v>
      </c>
      <c r="S618" s="152">
        <v>45546.826388888891</v>
      </c>
      <c r="T618" s="152">
        <v>45546.854166666664</v>
      </c>
      <c r="U618" s="152">
        <v>45546.951388888891</v>
      </c>
      <c r="V618" s="219">
        <f t="shared" si="342"/>
        <v>0.20833333333575865</v>
      </c>
      <c r="W618" s="203">
        <v>0.20833333333333334</v>
      </c>
      <c r="X618" s="219">
        <f t="shared" si="343"/>
        <v>2.4253099528692701E-12</v>
      </c>
      <c r="Y618" s="96">
        <v>0</v>
      </c>
      <c r="Z618" s="96">
        <v>58</v>
      </c>
      <c r="AA618" s="96">
        <f t="shared" si="334"/>
        <v>58</v>
      </c>
      <c r="AB618" s="97">
        <f t="shared" si="335"/>
        <v>0</v>
      </c>
      <c r="AC618" s="97">
        <f t="shared" si="336"/>
        <v>4028</v>
      </c>
      <c r="AD618" s="98">
        <v>4028</v>
      </c>
      <c r="AE618" s="98">
        <v>4060</v>
      </c>
      <c r="AF618" s="98">
        <v>4070.6</v>
      </c>
      <c r="AG618" s="98">
        <f t="shared" si="337"/>
        <v>42.599999999999909</v>
      </c>
      <c r="AH618" s="99">
        <v>1586.7</v>
      </c>
      <c r="AI618" s="100">
        <f t="shared" si="338"/>
        <v>6458821.0200000005</v>
      </c>
      <c r="AJ618" s="100">
        <f>(0.2*AH618)*2</f>
        <v>634.68000000000006</v>
      </c>
      <c r="AK618" s="100">
        <v>0</v>
      </c>
      <c r="AL618" s="100">
        <v>0</v>
      </c>
      <c r="AM618" s="100">
        <v>0</v>
      </c>
      <c r="AN618" s="100">
        <v>0</v>
      </c>
      <c r="AO618" s="100">
        <f>IFERROR(AF618*20+(((AJ618/AH618)/2)*20),0)</f>
        <v>81416</v>
      </c>
      <c r="AP618" s="100">
        <f t="shared" si="340"/>
        <v>327044</v>
      </c>
      <c r="AQ618" s="101">
        <f t="shared" si="341"/>
        <v>6867916</v>
      </c>
      <c r="AR618" s="101">
        <v>0</v>
      </c>
      <c r="AS618" s="101">
        <v>0</v>
      </c>
      <c r="AT618" s="102" t="s">
        <v>34</v>
      </c>
      <c r="AU618" s="109" t="s">
        <v>118</v>
      </c>
      <c r="AV618" s="100">
        <v>0</v>
      </c>
      <c r="AW618" s="105">
        <v>3</v>
      </c>
      <c r="AX618" s="216">
        <f t="shared" si="344"/>
        <v>1.046528767257896</v>
      </c>
      <c r="AY618" s="217">
        <f t="shared" si="345"/>
        <v>67594</v>
      </c>
      <c r="AZ618" s="107"/>
      <c r="BA618" s="94">
        <v>45546.493055555555</v>
      </c>
      <c r="BB618" s="94">
        <v>45546.520833333336</v>
      </c>
      <c r="BC618" s="94">
        <v>45546.520833333336</v>
      </c>
      <c r="BD618" s="94">
        <v>45546.808333333334</v>
      </c>
      <c r="BE618" s="95">
        <f t="shared" si="346"/>
        <v>0.31527777777955635</v>
      </c>
      <c r="BF618" s="95">
        <v>9.7222222222222224E-3</v>
      </c>
      <c r="BG618" s="95">
        <v>0.14305555555555555</v>
      </c>
      <c r="BH618" s="95">
        <f t="shared" si="347"/>
        <v>2.7777777781011537E-2</v>
      </c>
      <c r="BI618" s="95">
        <f t="shared" si="347"/>
        <v>0</v>
      </c>
      <c r="BJ618" s="95">
        <f t="shared" si="347"/>
        <v>0.28749999999854481</v>
      </c>
      <c r="BK618" s="95">
        <f t="shared" si="348"/>
        <v>0.28749999999854481</v>
      </c>
      <c r="BL618" s="95">
        <f t="shared" si="349"/>
        <v>0.13472222222076702</v>
      </c>
      <c r="BM618" s="95">
        <f t="shared" si="350"/>
        <v>0.106944444446223</v>
      </c>
      <c r="BN618" s="110"/>
    </row>
    <row r="619" spans="1:66" s="8" customFormat="1" ht="12.75" customHeight="1" x14ac:dyDescent="0.25">
      <c r="A619" s="150">
        <v>562</v>
      </c>
      <c r="B619" s="150">
        <v>20</v>
      </c>
      <c r="C619" s="90">
        <v>15</v>
      </c>
      <c r="D619" s="111" t="s">
        <v>148</v>
      </c>
      <c r="E619" s="210" t="s">
        <v>766</v>
      </c>
      <c r="F619" s="150" t="s">
        <v>16</v>
      </c>
      <c r="G619" s="150" t="s">
        <v>17</v>
      </c>
      <c r="H619" s="150" t="s">
        <v>150</v>
      </c>
      <c r="I619" s="150" t="s">
        <v>821</v>
      </c>
      <c r="J619" s="151">
        <v>45545</v>
      </c>
      <c r="K619" s="135" t="s">
        <v>122</v>
      </c>
      <c r="L619" s="135">
        <v>461000461</v>
      </c>
      <c r="M619" s="151">
        <v>45547</v>
      </c>
      <c r="N619" s="152">
        <v>45546.8125</v>
      </c>
      <c r="O619" s="152">
        <v>45546.8125</v>
      </c>
      <c r="P619" s="152">
        <v>45546.829861111109</v>
      </c>
      <c r="Q619" s="152">
        <v>45546.989583333336</v>
      </c>
      <c r="R619" s="152" t="s">
        <v>118</v>
      </c>
      <c r="S619" s="152">
        <v>45547.069444444445</v>
      </c>
      <c r="T619" s="152">
        <v>45547.083333333336</v>
      </c>
      <c r="U619" s="152">
        <v>45547.215277777781</v>
      </c>
      <c r="V619" s="219">
        <f t="shared" si="342"/>
        <v>0.17708333333575865</v>
      </c>
      <c r="W619" s="203">
        <v>0.20833333333333334</v>
      </c>
      <c r="X619" s="219" t="str">
        <f t="shared" si="343"/>
        <v>00:00</v>
      </c>
      <c r="Y619" s="96">
        <v>0</v>
      </c>
      <c r="Z619" s="96">
        <v>58</v>
      </c>
      <c r="AA619" s="96">
        <f t="shared" si="334"/>
        <v>58</v>
      </c>
      <c r="AB619" s="97">
        <f t="shared" si="335"/>
        <v>0</v>
      </c>
      <c r="AC619" s="97">
        <f t="shared" si="336"/>
        <v>3936.8400000000006</v>
      </c>
      <c r="AD619" s="98">
        <v>3936.84</v>
      </c>
      <c r="AE619" s="98">
        <v>4030.6</v>
      </c>
      <c r="AF619" s="98">
        <v>4036.8</v>
      </c>
      <c r="AG619" s="98">
        <f t="shared" si="337"/>
        <v>99.960000000000036</v>
      </c>
      <c r="AH619" s="99">
        <v>672.5</v>
      </c>
      <c r="AI619" s="100">
        <f t="shared" si="338"/>
        <v>2714748</v>
      </c>
      <c r="AJ619" s="100">
        <f t="shared" ref="AJ619:AJ631" si="352">(0*AH619)*2</f>
        <v>0</v>
      </c>
      <c r="AK619" s="100">
        <v>0</v>
      </c>
      <c r="AL619" s="100">
        <v>24140</v>
      </c>
      <c r="AM619" s="100">
        <v>0</v>
      </c>
      <c r="AN619" s="100">
        <v>0</v>
      </c>
      <c r="AO619" s="100">
        <v>0</v>
      </c>
      <c r="AP619" s="100">
        <f t="shared" si="340"/>
        <v>136945</v>
      </c>
      <c r="AQ619" s="101">
        <f t="shared" si="341"/>
        <v>2875833</v>
      </c>
      <c r="AR619" s="101">
        <v>0</v>
      </c>
      <c r="AS619" s="101">
        <v>0</v>
      </c>
      <c r="AT619" s="102" t="s">
        <v>34</v>
      </c>
      <c r="AU619" s="109">
        <v>2</v>
      </c>
      <c r="AV619" s="100">
        <f>8.54-5.54</f>
        <v>2.9999999999999991</v>
      </c>
      <c r="AW619" s="105">
        <v>0</v>
      </c>
      <c r="AX619" s="216">
        <f t="shared" si="344"/>
        <v>2.4762187871581456</v>
      </c>
      <c r="AY619" s="217">
        <f t="shared" si="345"/>
        <v>67224</v>
      </c>
      <c r="AZ619" s="107"/>
      <c r="BA619" s="94">
        <v>45546.8125</v>
      </c>
      <c r="BB619" s="94">
        <v>45546.829861111109</v>
      </c>
      <c r="BC619" s="94">
        <v>45546.829861111109</v>
      </c>
      <c r="BD619" s="94">
        <v>45547.070833333331</v>
      </c>
      <c r="BE619" s="95">
        <f t="shared" si="346"/>
        <v>0.25833333333139308</v>
      </c>
      <c r="BF619" s="95">
        <v>4.9305555555555554E-2</v>
      </c>
      <c r="BG619" s="95">
        <v>1.8055555555555554E-2</v>
      </c>
      <c r="BH619" s="95">
        <f t="shared" si="347"/>
        <v>1.7361111109494232E-2</v>
      </c>
      <c r="BI619" s="95">
        <f t="shared" si="347"/>
        <v>0</v>
      </c>
      <c r="BJ619" s="95">
        <f t="shared" si="347"/>
        <v>0.24097222222189885</v>
      </c>
      <c r="BK619" s="95">
        <f t="shared" si="348"/>
        <v>0.24097222222189885</v>
      </c>
      <c r="BL619" s="95">
        <f t="shared" si="349"/>
        <v>0.17361111111078775</v>
      </c>
      <c r="BM619" s="95">
        <f t="shared" si="350"/>
        <v>4.9999999998059735E-2</v>
      </c>
      <c r="BN619" s="110"/>
    </row>
    <row r="620" spans="1:66" s="8" customFormat="1" ht="12.75" customHeight="1" x14ac:dyDescent="0.25">
      <c r="A620" s="150">
        <v>563</v>
      </c>
      <c r="B620" s="150">
        <v>21</v>
      </c>
      <c r="C620" s="90">
        <v>26</v>
      </c>
      <c r="D620" s="111" t="s">
        <v>113</v>
      </c>
      <c r="E620" s="210" t="s">
        <v>711</v>
      </c>
      <c r="F620" s="150" t="s">
        <v>32</v>
      </c>
      <c r="G620" s="150" t="s">
        <v>8</v>
      </c>
      <c r="H620" s="150" t="s">
        <v>805</v>
      </c>
      <c r="I620" s="150" t="s">
        <v>822</v>
      </c>
      <c r="J620" s="151">
        <v>45546</v>
      </c>
      <c r="K620" s="135" t="s">
        <v>117</v>
      </c>
      <c r="L620" s="135">
        <v>261005978</v>
      </c>
      <c r="M620" s="151">
        <v>45547</v>
      </c>
      <c r="N620" s="152">
        <v>45546.989583333336</v>
      </c>
      <c r="O620" s="152">
        <v>45546.989583333336</v>
      </c>
      <c r="P620" s="152">
        <v>45546.993055555555</v>
      </c>
      <c r="Q620" s="152">
        <v>45547.197916666664</v>
      </c>
      <c r="R620" s="152" t="s">
        <v>118</v>
      </c>
      <c r="S620" s="152" t="s">
        <v>118</v>
      </c>
      <c r="T620" s="152">
        <v>45547.291666666664</v>
      </c>
      <c r="U620" s="152">
        <v>45547.392361111109</v>
      </c>
      <c r="V620" s="219">
        <f t="shared" si="342"/>
        <v>0.20833333332848269</v>
      </c>
      <c r="W620" s="203">
        <v>0.20833333333333334</v>
      </c>
      <c r="X620" s="219" t="str">
        <f t="shared" si="343"/>
        <v>00:00</v>
      </c>
      <c r="Y620" s="96">
        <v>2</v>
      </c>
      <c r="Z620" s="96">
        <v>57</v>
      </c>
      <c r="AA620" s="96">
        <f t="shared" si="334"/>
        <v>59</v>
      </c>
      <c r="AB620" s="97">
        <f t="shared" si="335"/>
        <v>137.48474576271187</v>
      </c>
      <c r="AC620" s="97">
        <f t="shared" si="336"/>
        <v>3918.3152542372882</v>
      </c>
      <c r="AD620" s="98">
        <v>4055.8</v>
      </c>
      <c r="AE620" s="98">
        <v>4090.7</v>
      </c>
      <c r="AF620" s="98">
        <v>4103.3999999999996</v>
      </c>
      <c r="AG620" s="98">
        <f t="shared" si="337"/>
        <v>47.599999999999454</v>
      </c>
      <c r="AH620" s="99">
        <v>1435.6</v>
      </c>
      <c r="AI620" s="100">
        <f t="shared" si="338"/>
        <v>5890841.0399999991</v>
      </c>
      <c r="AJ620" s="100">
        <f t="shared" si="352"/>
        <v>0</v>
      </c>
      <c r="AK620" s="100">
        <v>0</v>
      </c>
      <c r="AL620" s="100">
        <v>24290</v>
      </c>
      <c r="AM620" s="100">
        <v>0</v>
      </c>
      <c r="AN620" s="100">
        <v>0</v>
      </c>
      <c r="AO620" s="100">
        <v>0</v>
      </c>
      <c r="AP620" s="100">
        <f t="shared" si="340"/>
        <v>295757</v>
      </c>
      <c r="AQ620" s="101">
        <f t="shared" si="341"/>
        <v>6210889</v>
      </c>
      <c r="AR620" s="101">
        <v>0</v>
      </c>
      <c r="AS620" s="101">
        <v>0</v>
      </c>
      <c r="AT620" s="102" t="s">
        <v>33</v>
      </c>
      <c r="AU620" s="109">
        <v>4</v>
      </c>
      <c r="AV620" s="100">
        <f>14.16-11.16</f>
        <v>3</v>
      </c>
      <c r="AW620" s="105">
        <v>0</v>
      </c>
      <c r="AX620" s="216">
        <f t="shared" si="344"/>
        <v>1.1600136472193658</v>
      </c>
      <c r="AY620" s="217">
        <f t="shared" si="345"/>
        <v>68335</v>
      </c>
      <c r="AZ620" s="107"/>
      <c r="BA620" s="94">
        <v>45546.989583333336</v>
      </c>
      <c r="BB620" s="94">
        <v>45546.993055555555</v>
      </c>
      <c r="BC620" s="94">
        <v>45547.090277777781</v>
      </c>
      <c r="BD620" s="94">
        <v>45547.204861111109</v>
      </c>
      <c r="BE620" s="95">
        <f t="shared" si="346"/>
        <v>0.21527777777373558</v>
      </c>
      <c r="BF620" s="95">
        <v>1.9444444444444445E-2</v>
      </c>
      <c r="BG620" s="95">
        <v>7.7777777777777779E-2</v>
      </c>
      <c r="BH620" s="95">
        <f t="shared" si="347"/>
        <v>3.4722222189884633E-3</v>
      </c>
      <c r="BI620" s="95">
        <f t="shared" si="347"/>
        <v>9.7222222226264421E-2</v>
      </c>
      <c r="BJ620" s="95">
        <f t="shared" si="347"/>
        <v>0.11458333332848269</v>
      </c>
      <c r="BK620" s="95">
        <f t="shared" si="348"/>
        <v>0.21180555555474712</v>
      </c>
      <c r="BL620" s="95">
        <f t="shared" si="349"/>
        <v>0.11458333333252491</v>
      </c>
      <c r="BM620" s="95">
        <f t="shared" si="350"/>
        <v>6.9444444404022365E-3</v>
      </c>
      <c r="BN620" s="110"/>
    </row>
    <row r="621" spans="1:66" s="8" customFormat="1" ht="12.75" customHeight="1" x14ac:dyDescent="0.25">
      <c r="A621" s="150">
        <v>564</v>
      </c>
      <c r="B621" s="150">
        <v>22</v>
      </c>
      <c r="C621" s="90">
        <v>8</v>
      </c>
      <c r="D621" s="111" t="s">
        <v>113</v>
      </c>
      <c r="E621" s="210" t="s">
        <v>759</v>
      </c>
      <c r="F621" s="150" t="s">
        <v>29</v>
      </c>
      <c r="G621" s="150" t="s">
        <v>8</v>
      </c>
      <c r="H621" s="150" t="s">
        <v>124</v>
      </c>
      <c r="I621" s="150" t="s">
        <v>823</v>
      </c>
      <c r="J621" s="151">
        <v>45546</v>
      </c>
      <c r="K621" s="135" t="s">
        <v>122</v>
      </c>
      <c r="L621" s="135">
        <v>261005979</v>
      </c>
      <c r="M621" s="151">
        <v>45547</v>
      </c>
      <c r="N621" s="152">
        <v>45547.333333333336</v>
      </c>
      <c r="O621" s="152">
        <v>45547.333333333336</v>
      </c>
      <c r="P621" s="152">
        <v>45547.347222222219</v>
      </c>
      <c r="Q621" s="152">
        <v>45547.541666666664</v>
      </c>
      <c r="R621" s="152" t="s">
        <v>118</v>
      </c>
      <c r="S621" s="152" t="s">
        <v>118</v>
      </c>
      <c r="T621" s="152">
        <v>45547.604166666664</v>
      </c>
      <c r="U621" s="152">
        <v>45547.686111111114</v>
      </c>
      <c r="V621" s="219">
        <f t="shared" si="342"/>
        <v>0.20833333332848269</v>
      </c>
      <c r="W621" s="203">
        <v>0.20833333333333334</v>
      </c>
      <c r="X621" s="219" t="str">
        <f t="shared" si="343"/>
        <v>00:00</v>
      </c>
      <c r="Y621" s="96">
        <v>0</v>
      </c>
      <c r="Z621" s="96">
        <v>59</v>
      </c>
      <c r="AA621" s="96">
        <f t="shared" si="334"/>
        <v>59</v>
      </c>
      <c r="AB621" s="97">
        <f t="shared" si="335"/>
        <v>0</v>
      </c>
      <c r="AC621" s="97">
        <f t="shared" si="336"/>
        <v>3986.6200000000003</v>
      </c>
      <c r="AD621" s="98">
        <v>3986.62</v>
      </c>
      <c r="AE621" s="98">
        <v>4109.1000000000004</v>
      </c>
      <c r="AF621" s="98">
        <v>4109.6000000000004</v>
      </c>
      <c r="AG621" s="98">
        <f t="shared" si="337"/>
        <v>122.98000000000047</v>
      </c>
      <c r="AH621" s="99">
        <v>797.2</v>
      </c>
      <c r="AI621" s="100">
        <f t="shared" si="338"/>
        <v>3276173.1200000006</v>
      </c>
      <c r="AJ621" s="100">
        <f t="shared" si="352"/>
        <v>0</v>
      </c>
      <c r="AK621" s="100">
        <v>0</v>
      </c>
      <c r="AL621" s="100">
        <v>0</v>
      </c>
      <c r="AM621" s="100">
        <v>0</v>
      </c>
      <c r="AN621" s="100">
        <v>0</v>
      </c>
      <c r="AO621" s="100">
        <v>0</v>
      </c>
      <c r="AP621" s="100">
        <f t="shared" si="340"/>
        <v>163809</v>
      </c>
      <c r="AQ621" s="101">
        <f t="shared" si="341"/>
        <v>3439983</v>
      </c>
      <c r="AR621" s="101">
        <v>0</v>
      </c>
      <c r="AS621" s="101">
        <v>0</v>
      </c>
      <c r="AT621" s="102" t="s">
        <v>34</v>
      </c>
      <c r="AU621" s="109" t="s">
        <v>118</v>
      </c>
      <c r="AV621" s="100">
        <v>0</v>
      </c>
      <c r="AW621" s="105">
        <v>0</v>
      </c>
      <c r="AX621" s="216">
        <f t="shared" si="344"/>
        <v>2.9925053533190691</v>
      </c>
      <c r="AY621" s="217">
        <f t="shared" si="345"/>
        <v>98040</v>
      </c>
      <c r="AZ621" s="107"/>
      <c r="BA621" s="94">
        <v>45547.333333333336</v>
      </c>
      <c r="BB621" s="94">
        <v>45547.350694444445</v>
      </c>
      <c r="BC621" s="94">
        <v>45547.350694444445</v>
      </c>
      <c r="BD621" s="94">
        <v>45547.500694444447</v>
      </c>
      <c r="BE621" s="95">
        <f t="shared" si="346"/>
        <v>0.16736111111094942</v>
      </c>
      <c r="BF621" s="95">
        <v>2.0833333333333332E-2</v>
      </c>
      <c r="BG621" s="95">
        <v>0</v>
      </c>
      <c r="BH621" s="95">
        <f t="shared" si="347"/>
        <v>1.7361111109494232E-2</v>
      </c>
      <c r="BI621" s="95">
        <f t="shared" si="347"/>
        <v>0</v>
      </c>
      <c r="BJ621" s="95">
        <f t="shared" si="347"/>
        <v>0.15000000000145519</v>
      </c>
      <c r="BK621" s="95">
        <f t="shared" si="348"/>
        <v>0.15000000000145519</v>
      </c>
      <c r="BL621" s="95">
        <f t="shared" si="349"/>
        <v>0.12916666666812185</v>
      </c>
      <c r="BM621" s="95" t="str">
        <f t="shared" si="350"/>
        <v>00:00</v>
      </c>
      <c r="BN621" s="110"/>
    </row>
    <row r="622" spans="1:66" s="8" customFormat="1" ht="12.75" customHeight="1" x14ac:dyDescent="0.25">
      <c r="A622" s="150">
        <v>565</v>
      </c>
      <c r="B622" s="150">
        <v>23</v>
      </c>
      <c r="C622" s="90">
        <v>17</v>
      </c>
      <c r="D622" s="111" t="s">
        <v>113</v>
      </c>
      <c r="E622" s="210" t="s">
        <v>667</v>
      </c>
      <c r="F622" s="150" t="s">
        <v>27</v>
      </c>
      <c r="G622" s="150" t="s">
        <v>12</v>
      </c>
      <c r="H622" s="150" t="s">
        <v>115</v>
      </c>
      <c r="I622" s="150" t="s">
        <v>824</v>
      </c>
      <c r="J622" s="151">
        <v>45547</v>
      </c>
      <c r="K622" s="135" t="s">
        <v>117</v>
      </c>
      <c r="L622" s="135">
        <v>282001019</v>
      </c>
      <c r="M622" s="151">
        <v>45548</v>
      </c>
      <c r="N622" s="152">
        <v>45547.569444444445</v>
      </c>
      <c r="O622" s="152">
        <v>45547.569444444445</v>
      </c>
      <c r="P622" s="152">
        <v>45547.576388888891</v>
      </c>
      <c r="Q622" s="152">
        <v>45547.777777777781</v>
      </c>
      <c r="R622" s="152" t="s">
        <v>118</v>
      </c>
      <c r="S622" s="152" t="s">
        <v>118</v>
      </c>
      <c r="T622" s="152">
        <v>45547.854166666664</v>
      </c>
      <c r="U622" s="152">
        <v>45547.964583333334</v>
      </c>
      <c r="V622" s="219">
        <f t="shared" si="342"/>
        <v>0.20833333333575865</v>
      </c>
      <c r="W622" s="203">
        <v>0.20833333333333334</v>
      </c>
      <c r="X622" s="219">
        <f t="shared" si="343"/>
        <v>2.4253099528692701E-12</v>
      </c>
      <c r="Y622" s="96">
        <v>0</v>
      </c>
      <c r="Z622" s="96">
        <v>59</v>
      </c>
      <c r="AA622" s="96">
        <f t="shared" si="334"/>
        <v>59</v>
      </c>
      <c r="AB622" s="97">
        <f t="shared" si="335"/>
        <v>0</v>
      </c>
      <c r="AC622" s="97">
        <f t="shared" si="336"/>
        <v>4013.88</v>
      </c>
      <c r="AD622" s="98">
        <v>4013.88</v>
      </c>
      <c r="AE622" s="98">
        <v>4095.6</v>
      </c>
      <c r="AF622" s="98">
        <v>4097</v>
      </c>
      <c r="AG622" s="98">
        <f t="shared" si="337"/>
        <v>83.119999999999891</v>
      </c>
      <c r="AH622" s="99">
        <v>1586.7</v>
      </c>
      <c r="AI622" s="100">
        <f t="shared" si="338"/>
        <v>6500709.9000000004</v>
      </c>
      <c r="AJ622" s="100">
        <f t="shared" si="352"/>
        <v>0</v>
      </c>
      <c r="AK622" s="100">
        <v>0</v>
      </c>
      <c r="AL622" s="100">
        <v>0</v>
      </c>
      <c r="AM622" s="100">
        <v>0</v>
      </c>
      <c r="AN622" s="100">
        <v>0</v>
      </c>
      <c r="AO622" s="100">
        <f>IFERROR(AF622*20+(((AJ622/AH622)/2)*20),0)</f>
        <v>81940</v>
      </c>
      <c r="AP622" s="100">
        <f t="shared" si="340"/>
        <v>329133</v>
      </c>
      <c r="AQ622" s="101">
        <f t="shared" si="341"/>
        <v>6911783</v>
      </c>
      <c r="AR622" s="101">
        <v>0</v>
      </c>
      <c r="AS622" s="101">
        <v>0</v>
      </c>
      <c r="AT622" s="102" t="s">
        <v>34</v>
      </c>
      <c r="AU622" s="109" t="s">
        <v>118</v>
      </c>
      <c r="AV622" s="100">
        <v>0</v>
      </c>
      <c r="AW622" s="105">
        <v>0</v>
      </c>
      <c r="AX622" s="216">
        <f t="shared" si="344"/>
        <v>2.0288015621186206</v>
      </c>
      <c r="AY622" s="217">
        <f t="shared" si="345"/>
        <v>131887</v>
      </c>
      <c r="AZ622" s="107"/>
      <c r="BA622" s="94">
        <v>45547.569444444445</v>
      </c>
      <c r="BB622" s="94">
        <v>45547.576388888891</v>
      </c>
      <c r="BC622" s="94">
        <v>45547.576388888891</v>
      </c>
      <c r="BD622" s="94">
        <v>45547.777777777781</v>
      </c>
      <c r="BE622" s="95">
        <f t="shared" si="346"/>
        <v>0.20833333333575865</v>
      </c>
      <c r="BF622" s="95">
        <v>1.6666666666666666E-2</v>
      </c>
      <c r="BG622" s="95">
        <v>4.8611111111111112E-2</v>
      </c>
      <c r="BH622" s="95">
        <f t="shared" si="347"/>
        <v>6.9444444452528842E-3</v>
      </c>
      <c r="BI622" s="95">
        <f t="shared" si="347"/>
        <v>0</v>
      </c>
      <c r="BJ622" s="95">
        <f t="shared" si="347"/>
        <v>0.20138888889050577</v>
      </c>
      <c r="BK622" s="95">
        <f t="shared" si="348"/>
        <v>0.20138888889050577</v>
      </c>
      <c r="BL622" s="95">
        <f t="shared" si="349"/>
        <v>0.136111111112728</v>
      </c>
      <c r="BM622" s="95">
        <f t="shared" si="350"/>
        <v>2.4253099528692701E-12</v>
      </c>
      <c r="BN622" s="110"/>
    </row>
    <row r="623" spans="1:66" s="8" customFormat="1" ht="12.75" customHeight="1" x14ac:dyDescent="0.25">
      <c r="A623" s="150">
        <v>566</v>
      </c>
      <c r="B623" s="150">
        <v>24</v>
      </c>
      <c r="C623" s="90">
        <v>16</v>
      </c>
      <c r="D623" s="111" t="s">
        <v>148</v>
      </c>
      <c r="E623" s="210" t="s">
        <v>766</v>
      </c>
      <c r="F623" s="150" t="s">
        <v>16</v>
      </c>
      <c r="G623" s="150" t="s">
        <v>17</v>
      </c>
      <c r="H623" s="150" t="s">
        <v>150</v>
      </c>
      <c r="I623" s="150" t="s">
        <v>825</v>
      </c>
      <c r="J623" s="151">
        <v>45545</v>
      </c>
      <c r="K623" s="135" t="s">
        <v>122</v>
      </c>
      <c r="L623" s="135">
        <v>461000462</v>
      </c>
      <c r="M623" s="151">
        <v>45548</v>
      </c>
      <c r="N623" s="152">
        <v>45548.010416666664</v>
      </c>
      <c r="O623" s="152">
        <v>45548.010416666664</v>
      </c>
      <c r="P623" s="152">
        <v>45548.013888888891</v>
      </c>
      <c r="Q623" s="152">
        <v>45548.21875</v>
      </c>
      <c r="R623" s="152" t="s">
        <v>118</v>
      </c>
      <c r="S623" s="152" t="s">
        <v>118</v>
      </c>
      <c r="T623" s="152">
        <v>45548.3125</v>
      </c>
      <c r="U623" s="152">
        <v>45548.43472222222</v>
      </c>
      <c r="V623" s="219">
        <f t="shared" si="342"/>
        <v>0.20833333333575865</v>
      </c>
      <c r="W623" s="203">
        <v>0.20833333333333334</v>
      </c>
      <c r="X623" s="219">
        <f t="shared" si="343"/>
        <v>2.4253099528692701E-12</v>
      </c>
      <c r="Y623" s="96">
        <v>0</v>
      </c>
      <c r="Z623" s="96">
        <v>58</v>
      </c>
      <c r="AA623" s="96">
        <f t="shared" si="334"/>
        <v>58</v>
      </c>
      <c r="AB623" s="97">
        <f t="shared" si="335"/>
        <v>0</v>
      </c>
      <c r="AC623" s="97">
        <f t="shared" si="336"/>
        <v>4017.01</v>
      </c>
      <c r="AD623" s="98">
        <v>4017.01</v>
      </c>
      <c r="AE623" s="98">
        <v>4024.5</v>
      </c>
      <c r="AF623" s="98">
        <v>4049.2</v>
      </c>
      <c r="AG623" s="98">
        <f t="shared" si="337"/>
        <v>32.1899999999996</v>
      </c>
      <c r="AH623" s="99">
        <v>672.5</v>
      </c>
      <c r="AI623" s="100">
        <f t="shared" si="338"/>
        <v>2723087</v>
      </c>
      <c r="AJ623" s="100">
        <f t="shared" si="352"/>
        <v>0</v>
      </c>
      <c r="AK623" s="100">
        <v>0</v>
      </c>
      <c r="AL623" s="100">
        <v>24140</v>
      </c>
      <c r="AM623" s="100">
        <v>0</v>
      </c>
      <c r="AN623" s="100">
        <v>0</v>
      </c>
      <c r="AO623" s="100">
        <v>0</v>
      </c>
      <c r="AP623" s="100">
        <f t="shared" si="340"/>
        <v>137362</v>
      </c>
      <c r="AQ623" s="101">
        <f t="shared" si="341"/>
        <v>2884589</v>
      </c>
      <c r="AR623" s="101">
        <v>0</v>
      </c>
      <c r="AS623" s="101">
        <v>0</v>
      </c>
      <c r="AT623" s="102" t="s">
        <v>34</v>
      </c>
      <c r="AU623" s="109">
        <v>16</v>
      </c>
      <c r="AV623" s="100">
        <f>45.92-21.42</f>
        <v>24.5</v>
      </c>
      <c r="AW623" s="105">
        <v>0</v>
      </c>
      <c r="AX623" s="216">
        <f t="shared" si="344"/>
        <v>0.79497184629061546</v>
      </c>
      <c r="AY623" s="217">
        <f t="shared" si="345"/>
        <v>21648</v>
      </c>
      <c r="AZ623" s="107"/>
      <c r="BA623" s="94">
        <v>45548</v>
      </c>
      <c r="BB623" s="94">
        <v>45548.003472222219</v>
      </c>
      <c r="BC623" s="94">
        <v>45548.003472222219</v>
      </c>
      <c r="BD623" s="94">
        <v>45548.243055555555</v>
      </c>
      <c r="BE623" s="95">
        <f t="shared" si="346"/>
        <v>0.24305555555474712</v>
      </c>
      <c r="BF623" s="95">
        <v>5.2083333333333336E-2</v>
      </c>
      <c r="BG623" s="95">
        <v>3.472222222222222E-3</v>
      </c>
      <c r="BH623" s="95">
        <f t="shared" si="347"/>
        <v>3.4722222189884633E-3</v>
      </c>
      <c r="BI623" s="95">
        <f t="shared" si="347"/>
        <v>0</v>
      </c>
      <c r="BJ623" s="95">
        <f t="shared" si="347"/>
        <v>0.23958333333575865</v>
      </c>
      <c r="BK623" s="95">
        <f t="shared" si="348"/>
        <v>0.23958333333575865</v>
      </c>
      <c r="BL623" s="95">
        <f t="shared" si="349"/>
        <v>0.1840277777802031</v>
      </c>
      <c r="BM623" s="95">
        <f t="shared" si="350"/>
        <v>3.4722222221413773E-2</v>
      </c>
      <c r="BN623" s="110"/>
    </row>
    <row r="624" spans="1:66" s="8" customFormat="1" ht="12.75" customHeight="1" x14ac:dyDescent="0.25">
      <c r="A624" s="150">
        <v>567</v>
      </c>
      <c r="B624" s="150">
        <v>25</v>
      </c>
      <c r="C624" s="90">
        <v>18</v>
      </c>
      <c r="D624" s="111" t="s">
        <v>113</v>
      </c>
      <c r="E624" s="210" t="s">
        <v>667</v>
      </c>
      <c r="F624" s="150" t="s">
        <v>27</v>
      </c>
      <c r="G624" s="150" t="s">
        <v>12</v>
      </c>
      <c r="H624" s="150" t="s">
        <v>115</v>
      </c>
      <c r="I624" s="150" t="s">
        <v>826</v>
      </c>
      <c r="J624" s="151">
        <v>45548</v>
      </c>
      <c r="K624" s="135" t="s">
        <v>117</v>
      </c>
      <c r="L624" s="135">
        <v>282001020</v>
      </c>
      <c r="M624" s="151">
        <v>45549</v>
      </c>
      <c r="N624" s="152">
        <v>45548.225694444445</v>
      </c>
      <c r="O624" s="152">
        <v>45548.225694444445</v>
      </c>
      <c r="P624" s="152">
        <v>45548.229166666664</v>
      </c>
      <c r="Q624" s="152">
        <v>45548.434027777781</v>
      </c>
      <c r="R624" s="152" t="s">
        <v>118</v>
      </c>
      <c r="S624" s="152">
        <v>45548.541666666664</v>
      </c>
      <c r="T624" s="152">
        <v>45548.583333333336</v>
      </c>
      <c r="U624" s="152">
        <v>45548.662499999999</v>
      </c>
      <c r="V624" s="219">
        <f t="shared" si="342"/>
        <v>0.20833333333575865</v>
      </c>
      <c r="W624" s="203">
        <v>0.20833333333333334</v>
      </c>
      <c r="X624" s="219">
        <f t="shared" si="343"/>
        <v>2.4253099528692701E-12</v>
      </c>
      <c r="Y624" s="96">
        <v>0</v>
      </c>
      <c r="Z624" s="96">
        <v>59</v>
      </c>
      <c r="AA624" s="96">
        <f t="shared" si="334"/>
        <v>59</v>
      </c>
      <c r="AB624" s="97">
        <f t="shared" si="335"/>
        <v>0</v>
      </c>
      <c r="AC624" s="97">
        <f t="shared" si="336"/>
        <v>4035.81</v>
      </c>
      <c r="AD624" s="98">
        <v>4035.81</v>
      </c>
      <c r="AE624" s="98">
        <v>4095.8</v>
      </c>
      <c r="AF624" s="98">
        <v>4099.6000000000004</v>
      </c>
      <c r="AG624" s="98">
        <f t="shared" si="337"/>
        <v>63.790000000000418</v>
      </c>
      <c r="AH624" s="99">
        <v>1586.7</v>
      </c>
      <c r="AI624" s="100">
        <f t="shared" si="338"/>
        <v>6504835.3200000003</v>
      </c>
      <c r="AJ624" s="100">
        <f t="shared" si="352"/>
        <v>0</v>
      </c>
      <c r="AK624" s="100">
        <v>0</v>
      </c>
      <c r="AL624" s="100">
        <v>0</v>
      </c>
      <c r="AM624" s="100">
        <v>0</v>
      </c>
      <c r="AN624" s="100">
        <v>0</v>
      </c>
      <c r="AO624" s="100">
        <f>IFERROR(AF624*20+(((AJ624/AH624)/2)*20),0)</f>
        <v>81992</v>
      </c>
      <c r="AP624" s="100">
        <f t="shared" si="340"/>
        <v>329342</v>
      </c>
      <c r="AQ624" s="101">
        <f t="shared" si="341"/>
        <v>6916170</v>
      </c>
      <c r="AR624" s="101">
        <v>0</v>
      </c>
      <c r="AS624" s="101">
        <v>0</v>
      </c>
      <c r="AT624" s="102" t="s">
        <v>33</v>
      </c>
      <c r="AU624" s="109" t="s">
        <v>118</v>
      </c>
      <c r="AV624" s="100">
        <v>0</v>
      </c>
      <c r="AW624" s="105">
        <v>3</v>
      </c>
      <c r="AX624" s="216">
        <f t="shared" si="344"/>
        <v>1.5560054639477123</v>
      </c>
      <c r="AY624" s="217">
        <f t="shared" si="345"/>
        <v>101216</v>
      </c>
      <c r="AZ624" s="107"/>
      <c r="BA624" s="94">
        <v>45548.225694444445</v>
      </c>
      <c r="BB624" s="94">
        <v>45548.229166666664</v>
      </c>
      <c r="BC624" s="94">
        <v>45548.282638888886</v>
      </c>
      <c r="BD624" s="94">
        <v>45548.533333333333</v>
      </c>
      <c r="BE624" s="95">
        <f t="shared" si="346"/>
        <v>0.30763888888759539</v>
      </c>
      <c r="BF624" s="95">
        <v>4.1666666666666664E-2</v>
      </c>
      <c r="BG624" s="95">
        <v>0.13680555555555557</v>
      </c>
      <c r="BH624" s="95">
        <f t="shared" si="347"/>
        <v>3.4722222189884633E-3</v>
      </c>
      <c r="BI624" s="95">
        <f t="shared" si="347"/>
        <v>5.3472222221898846E-2</v>
      </c>
      <c r="BJ624" s="95">
        <f t="shared" si="347"/>
        <v>0.25069444444670808</v>
      </c>
      <c r="BK624" s="95">
        <f t="shared" si="348"/>
        <v>0.30416666666860692</v>
      </c>
      <c r="BL624" s="95">
        <f t="shared" si="349"/>
        <v>0.12569444444638467</v>
      </c>
      <c r="BM624" s="95">
        <f t="shared" si="350"/>
        <v>9.9305555554262043E-2</v>
      </c>
      <c r="BN624" s="110"/>
    </row>
    <row r="625" spans="1:66" s="8" customFormat="1" ht="12.75" customHeight="1" x14ac:dyDescent="0.25">
      <c r="A625" s="150">
        <v>568</v>
      </c>
      <c r="B625" s="150">
        <v>26</v>
      </c>
      <c r="C625" s="90">
        <v>17</v>
      </c>
      <c r="D625" s="111" t="s">
        <v>148</v>
      </c>
      <c r="E625" s="210" t="s">
        <v>766</v>
      </c>
      <c r="F625" s="150" t="s">
        <v>16</v>
      </c>
      <c r="G625" s="150" t="s">
        <v>17</v>
      </c>
      <c r="H625" s="150" t="s">
        <v>150</v>
      </c>
      <c r="I625" s="150" t="s">
        <v>827</v>
      </c>
      <c r="J625" s="151">
        <v>45545</v>
      </c>
      <c r="K625" s="135" t="s">
        <v>122</v>
      </c>
      <c r="L625" s="135">
        <v>461000463</v>
      </c>
      <c r="M625" s="151">
        <v>45548</v>
      </c>
      <c r="N625" s="152">
        <v>45548.552083333336</v>
      </c>
      <c r="O625" s="152">
        <v>45548.552083333336</v>
      </c>
      <c r="P625" s="152">
        <v>45548.559027777781</v>
      </c>
      <c r="Q625" s="152">
        <v>45548.760416666664</v>
      </c>
      <c r="R625" s="152" t="s">
        <v>118</v>
      </c>
      <c r="S625" s="152">
        <v>45548.784722222219</v>
      </c>
      <c r="T625" s="152">
        <v>45548.791666666664</v>
      </c>
      <c r="U625" s="152">
        <v>45548.954861111109</v>
      </c>
      <c r="V625" s="219">
        <f t="shared" si="342"/>
        <v>0.20833333332848269</v>
      </c>
      <c r="W625" s="203">
        <v>0.20833333333333334</v>
      </c>
      <c r="X625" s="219" t="str">
        <f t="shared" si="343"/>
        <v>00:00</v>
      </c>
      <c r="Y625" s="96">
        <v>0</v>
      </c>
      <c r="Z625" s="96">
        <v>59</v>
      </c>
      <c r="AA625" s="96">
        <f t="shared" si="334"/>
        <v>59</v>
      </c>
      <c r="AB625" s="97">
        <f t="shared" si="335"/>
        <v>0</v>
      </c>
      <c r="AC625" s="97">
        <f t="shared" si="336"/>
        <v>4082.0600000000004</v>
      </c>
      <c r="AD625" s="98">
        <v>4082.06</v>
      </c>
      <c r="AE625" s="98">
        <v>4095.9</v>
      </c>
      <c r="AF625" s="98">
        <v>4117</v>
      </c>
      <c r="AG625" s="98">
        <f t="shared" si="337"/>
        <v>34.940000000000055</v>
      </c>
      <c r="AH625" s="99">
        <v>672.5</v>
      </c>
      <c r="AI625" s="100">
        <f t="shared" si="338"/>
        <v>2768682.5</v>
      </c>
      <c r="AJ625" s="100">
        <f t="shared" si="352"/>
        <v>0</v>
      </c>
      <c r="AK625" s="100">
        <v>0</v>
      </c>
      <c r="AL625" s="100">
        <v>24290</v>
      </c>
      <c r="AM625" s="100">
        <v>0</v>
      </c>
      <c r="AN625" s="100">
        <v>0</v>
      </c>
      <c r="AO625" s="100">
        <v>0</v>
      </c>
      <c r="AP625" s="100">
        <f t="shared" si="340"/>
        <v>139649</v>
      </c>
      <c r="AQ625" s="101">
        <f t="shared" si="341"/>
        <v>2932622</v>
      </c>
      <c r="AR625" s="101">
        <v>0</v>
      </c>
      <c r="AS625" s="101">
        <v>0</v>
      </c>
      <c r="AT625" s="102" t="s">
        <v>33</v>
      </c>
      <c r="AU625" s="109">
        <v>15</v>
      </c>
      <c r="AV625" s="100">
        <f>36.84-17.34</f>
        <v>19.500000000000004</v>
      </c>
      <c r="AW625" s="105">
        <v>1</v>
      </c>
      <c r="AX625" s="216">
        <f t="shared" si="344"/>
        <v>0.84867622054894465</v>
      </c>
      <c r="AY625" s="217">
        <f t="shared" si="345"/>
        <v>23498</v>
      </c>
      <c r="AZ625" s="107"/>
      <c r="BA625" s="94">
        <v>45548.552083333336</v>
      </c>
      <c r="BB625" s="94">
        <v>45548.559027777781</v>
      </c>
      <c r="BC625" s="94">
        <v>45548.559027777781</v>
      </c>
      <c r="BD625" s="94">
        <v>45548.777777777781</v>
      </c>
      <c r="BE625" s="95">
        <f t="shared" si="346"/>
        <v>0.22569444444525288</v>
      </c>
      <c r="BF625" s="95">
        <v>6.5277777777777782E-2</v>
      </c>
      <c r="BG625" s="95">
        <v>0</v>
      </c>
      <c r="BH625" s="95">
        <f t="shared" si="347"/>
        <v>6.9444444452528842E-3</v>
      </c>
      <c r="BI625" s="95">
        <f t="shared" si="347"/>
        <v>0</v>
      </c>
      <c r="BJ625" s="95">
        <f t="shared" si="347"/>
        <v>0.21875</v>
      </c>
      <c r="BK625" s="95">
        <f t="shared" si="348"/>
        <v>0.21875</v>
      </c>
      <c r="BL625" s="95">
        <f t="shared" si="349"/>
        <v>0.15347222222222223</v>
      </c>
      <c r="BM625" s="95">
        <f t="shared" si="350"/>
        <v>1.7361111111919542E-2</v>
      </c>
      <c r="BN625" s="110"/>
    </row>
    <row r="626" spans="1:66" s="8" customFormat="1" ht="12.75" customHeight="1" x14ac:dyDescent="0.25">
      <c r="A626" s="115">
        <v>569</v>
      </c>
      <c r="B626" s="115">
        <v>27</v>
      </c>
      <c r="C626" s="115">
        <v>19</v>
      </c>
      <c r="D626" s="115" t="s">
        <v>113</v>
      </c>
      <c r="E626" s="210" t="s">
        <v>667</v>
      </c>
      <c r="F626" s="115" t="s">
        <v>27</v>
      </c>
      <c r="G626" s="115" t="s">
        <v>12</v>
      </c>
      <c r="H626" s="115" t="s">
        <v>115</v>
      </c>
      <c r="I626" s="115" t="s">
        <v>828</v>
      </c>
      <c r="J626" s="117">
        <v>45548</v>
      </c>
      <c r="K626" s="116" t="s">
        <v>117</v>
      </c>
      <c r="L626" s="116">
        <v>282001021</v>
      </c>
      <c r="M626" s="117">
        <v>45549</v>
      </c>
      <c r="N626" s="118">
        <v>45548.829861111109</v>
      </c>
      <c r="O626" s="118">
        <v>45548.829861111109</v>
      </c>
      <c r="P626" s="118">
        <v>45548.836805555555</v>
      </c>
      <c r="Q626" s="118">
        <v>45548.996527777781</v>
      </c>
      <c r="R626" s="118" t="s">
        <v>118</v>
      </c>
      <c r="S626" s="118">
        <v>45549.114583333336</v>
      </c>
      <c r="T626" s="118">
        <v>45549.125</v>
      </c>
      <c r="U626" s="118">
        <v>45549.215277777781</v>
      </c>
      <c r="V626" s="119">
        <f t="shared" si="342"/>
        <v>0.16666666667151731</v>
      </c>
      <c r="W626" s="185">
        <v>0.20833333333333334</v>
      </c>
      <c r="X626" s="119" t="str">
        <f t="shared" si="343"/>
        <v>00:00</v>
      </c>
      <c r="Y626" s="96">
        <v>0</v>
      </c>
      <c r="Z626" s="96">
        <v>49</v>
      </c>
      <c r="AA626" s="96">
        <f t="shared" si="334"/>
        <v>49</v>
      </c>
      <c r="AB626" s="97">
        <f t="shared" si="335"/>
        <v>0</v>
      </c>
      <c r="AC626" s="97">
        <f t="shared" si="336"/>
        <v>3309.5200000000004</v>
      </c>
      <c r="AD626" s="98">
        <f>3987.69-678.17</f>
        <v>3309.52</v>
      </c>
      <c r="AE626" s="98">
        <f>4115.4-698</f>
        <v>3417.3999999999996</v>
      </c>
      <c r="AF626" s="98">
        <f>4117-678.17</f>
        <v>3438.83</v>
      </c>
      <c r="AG626" s="98">
        <f t="shared" si="337"/>
        <v>129.30999999999995</v>
      </c>
      <c r="AH626" s="99">
        <v>1586.7</v>
      </c>
      <c r="AI626" s="100">
        <f t="shared" si="338"/>
        <v>5456391.5609999998</v>
      </c>
      <c r="AJ626" s="100">
        <f t="shared" si="352"/>
        <v>0</v>
      </c>
      <c r="AK626" s="100">
        <v>0</v>
      </c>
      <c r="AL626" s="100">
        <v>24290</v>
      </c>
      <c r="AM626" s="100">
        <v>0</v>
      </c>
      <c r="AN626" s="100">
        <v>0</v>
      </c>
      <c r="AO626" s="100">
        <f>IFERROR(AF626*20+(((AJ626/AH626)/2)*20),0)</f>
        <v>68776.600000000006</v>
      </c>
      <c r="AP626" s="100">
        <f t="shared" si="340"/>
        <v>277473</v>
      </c>
      <c r="AQ626" s="101">
        <f>ROUNDUP(SUM(AI626:AP626),0)-1</f>
        <v>5826931</v>
      </c>
      <c r="AR626" s="101">
        <v>0</v>
      </c>
      <c r="AS626" s="101">
        <v>0</v>
      </c>
      <c r="AT626" s="137" t="s">
        <v>34</v>
      </c>
      <c r="AU626" s="120">
        <v>1</v>
      </c>
      <c r="AV626" s="121">
        <f>2.4-1.4</f>
        <v>1</v>
      </c>
      <c r="AW626" s="139">
        <v>2</v>
      </c>
      <c r="AX626" s="140">
        <f>IFERROR(((AG626+AG627)/(AF626+AF627))*100, "")</f>
        <v>3.1408792810298749</v>
      </c>
      <c r="AY626" s="141">
        <f>ROUNDUP((AG626+AG627)*AH626,0)</f>
        <v>205177</v>
      </c>
      <c r="AZ626" s="107"/>
      <c r="BA626" s="118">
        <v>45548.829861111109</v>
      </c>
      <c r="BB626" s="118">
        <v>45548.836805555555</v>
      </c>
      <c r="BC626" s="118">
        <v>45548.864583333336</v>
      </c>
      <c r="BD626" s="118">
        <v>45549.095833333333</v>
      </c>
      <c r="BE626" s="119">
        <f t="shared" si="346"/>
        <v>0.26597222222335404</v>
      </c>
      <c r="BF626" s="119">
        <v>2.2916666666666665E-2</v>
      </c>
      <c r="BG626" s="119">
        <v>2.2222222222222223E-2</v>
      </c>
      <c r="BH626" s="119">
        <f t="shared" si="347"/>
        <v>6.9444444452528842E-3</v>
      </c>
      <c r="BI626" s="119">
        <f t="shared" si="347"/>
        <v>2.7777777781011537E-2</v>
      </c>
      <c r="BJ626" s="119">
        <f t="shared" si="347"/>
        <v>0.23124999999708962</v>
      </c>
      <c r="BK626" s="119">
        <f t="shared" si="348"/>
        <v>0.25902777777810115</v>
      </c>
      <c r="BL626" s="119">
        <f t="shared" si="349"/>
        <v>0.21388888888921226</v>
      </c>
      <c r="BM626" s="119">
        <f t="shared" si="350"/>
        <v>5.7638888890020695E-2</v>
      </c>
      <c r="BN626" s="110" t="s">
        <v>829</v>
      </c>
    </row>
    <row r="627" spans="1:66" s="8" customFormat="1" ht="12.75" customHeight="1" x14ac:dyDescent="0.25">
      <c r="A627" s="122"/>
      <c r="B627" s="122"/>
      <c r="C627" s="122"/>
      <c r="D627" s="122"/>
      <c r="E627" s="210" t="s">
        <v>681</v>
      </c>
      <c r="F627" s="122"/>
      <c r="G627" s="122"/>
      <c r="H627" s="122"/>
      <c r="I627" s="122"/>
      <c r="J627" s="124"/>
      <c r="K627" s="123"/>
      <c r="L627" s="123"/>
      <c r="M627" s="124"/>
      <c r="N627" s="125"/>
      <c r="O627" s="125"/>
      <c r="P627" s="125"/>
      <c r="Q627" s="125"/>
      <c r="R627" s="125"/>
      <c r="S627" s="125"/>
      <c r="T627" s="125"/>
      <c r="U627" s="125"/>
      <c r="V627" s="126"/>
      <c r="W627" s="189"/>
      <c r="X627" s="126"/>
      <c r="Y627" s="96">
        <v>0</v>
      </c>
      <c r="Z627" s="96">
        <v>10</v>
      </c>
      <c r="AA627" s="96">
        <f t="shared" si="334"/>
        <v>10</v>
      </c>
      <c r="AB627" s="97">
        <f t="shared" si="335"/>
        <v>0</v>
      </c>
      <c r="AC627" s="97">
        <f t="shared" si="336"/>
        <v>678.17</v>
      </c>
      <c r="AD627" s="98">
        <v>678.17</v>
      </c>
      <c r="AE627" s="98">
        <v>698</v>
      </c>
      <c r="AF627" s="98">
        <v>678.17</v>
      </c>
      <c r="AG627" s="98">
        <f t="shared" si="337"/>
        <v>0</v>
      </c>
      <c r="AH627" s="99">
        <v>1586.7</v>
      </c>
      <c r="AI627" s="100">
        <f t="shared" si="338"/>
        <v>1076052.3389999999</v>
      </c>
      <c r="AJ627" s="100">
        <f t="shared" si="352"/>
        <v>0</v>
      </c>
      <c r="AK627" s="100">
        <v>0</v>
      </c>
      <c r="AL627" s="100">
        <v>0</v>
      </c>
      <c r="AM627" s="100">
        <v>0</v>
      </c>
      <c r="AN627" s="100">
        <v>0</v>
      </c>
      <c r="AO627" s="100">
        <f>IFERROR(AF627*20+(((AJ627/AH627)/2)*20),0)</f>
        <v>13563.4</v>
      </c>
      <c r="AP627" s="100">
        <f t="shared" si="340"/>
        <v>54481</v>
      </c>
      <c r="AQ627" s="101">
        <f t="shared" ref="AQ627:AQ645" si="353">ROUNDUP(SUM(AI627:AP627),0)</f>
        <v>1144097</v>
      </c>
      <c r="AR627" s="101">
        <v>0</v>
      </c>
      <c r="AS627" s="101">
        <v>0</v>
      </c>
      <c r="AT627" s="138"/>
      <c r="AU627" s="127"/>
      <c r="AV627" s="128"/>
      <c r="AW627" s="143"/>
      <c r="AX627" s="144"/>
      <c r="AY627" s="145"/>
      <c r="AZ627" s="107"/>
      <c r="BA627" s="125"/>
      <c r="BB627" s="125"/>
      <c r="BC627" s="125"/>
      <c r="BD627" s="125"/>
      <c r="BE627" s="126"/>
      <c r="BF627" s="126"/>
      <c r="BG627" s="126"/>
      <c r="BH627" s="126"/>
      <c r="BI627" s="126"/>
      <c r="BJ627" s="126"/>
      <c r="BK627" s="126"/>
      <c r="BL627" s="126"/>
      <c r="BM627" s="126"/>
      <c r="BN627" s="110" t="s">
        <v>830</v>
      </c>
    </row>
    <row r="628" spans="1:66" s="8" customFormat="1" ht="12.75" customHeight="1" x14ac:dyDescent="0.25">
      <c r="A628" s="150">
        <v>570</v>
      </c>
      <c r="B628" s="150">
        <v>28</v>
      </c>
      <c r="C628" s="90">
        <v>9</v>
      </c>
      <c r="D628" s="111" t="s">
        <v>113</v>
      </c>
      <c r="E628" s="210" t="s">
        <v>759</v>
      </c>
      <c r="F628" s="150" t="s">
        <v>29</v>
      </c>
      <c r="G628" s="150" t="s">
        <v>8</v>
      </c>
      <c r="H628" s="150" t="s">
        <v>124</v>
      </c>
      <c r="I628" s="150" t="s">
        <v>831</v>
      </c>
      <c r="J628" s="151">
        <v>45548</v>
      </c>
      <c r="K628" s="135" t="s">
        <v>122</v>
      </c>
      <c r="L628" s="135">
        <v>261005980</v>
      </c>
      <c r="M628" s="151">
        <v>45549</v>
      </c>
      <c r="N628" s="152">
        <v>45549.15625</v>
      </c>
      <c r="O628" s="152">
        <v>45549.15625</v>
      </c>
      <c r="P628" s="152">
        <v>45549.159722222219</v>
      </c>
      <c r="Q628" s="152">
        <v>45549.333333333336</v>
      </c>
      <c r="R628" s="152" t="s">
        <v>118</v>
      </c>
      <c r="S628" s="152" t="s">
        <v>118</v>
      </c>
      <c r="T628" s="152">
        <v>45549.354166666664</v>
      </c>
      <c r="U628" s="152">
        <v>45549.472222222219</v>
      </c>
      <c r="V628" s="219">
        <f t="shared" ref="V628:V635" si="354">+Q628-O628</f>
        <v>0.17708333333575865</v>
      </c>
      <c r="W628" s="203">
        <v>0.20833333333333334</v>
      </c>
      <c r="X628" s="219" t="str">
        <f t="shared" ref="X628:X635" si="355">IF(VALUE(V628)&lt;=VALUE("05:00"),"00:00",VALUE(V628)-VALUE("05:00"))</f>
        <v>00:00</v>
      </c>
      <c r="Y628" s="96">
        <v>0</v>
      </c>
      <c r="Z628" s="96">
        <v>59</v>
      </c>
      <c r="AA628" s="96">
        <f t="shared" si="334"/>
        <v>59</v>
      </c>
      <c r="AB628" s="97">
        <f t="shared" si="335"/>
        <v>0</v>
      </c>
      <c r="AC628" s="97">
        <f t="shared" si="336"/>
        <v>4107.29</v>
      </c>
      <c r="AD628" s="98">
        <v>4107.29</v>
      </c>
      <c r="AE628" s="98">
        <v>4099.5</v>
      </c>
      <c r="AF628" s="98">
        <v>4132.8</v>
      </c>
      <c r="AG628" s="98">
        <f t="shared" si="337"/>
        <v>25.510000000000218</v>
      </c>
      <c r="AH628" s="99">
        <v>797.2</v>
      </c>
      <c r="AI628" s="100">
        <f t="shared" si="338"/>
        <v>3294668.16</v>
      </c>
      <c r="AJ628" s="100">
        <f t="shared" si="352"/>
        <v>0</v>
      </c>
      <c r="AK628" s="100">
        <v>0</v>
      </c>
      <c r="AL628" s="100">
        <v>24290</v>
      </c>
      <c r="AM628" s="100">
        <v>0</v>
      </c>
      <c r="AN628" s="100">
        <v>0</v>
      </c>
      <c r="AO628" s="100">
        <v>0</v>
      </c>
      <c r="AP628" s="100">
        <f t="shared" si="340"/>
        <v>165948</v>
      </c>
      <c r="AQ628" s="101">
        <f t="shared" si="353"/>
        <v>3484907</v>
      </c>
      <c r="AR628" s="101">
        <v>0</v>
      </c>
      <c r="AS628" s="101">
        <v>0</v>
      </c>
      <c r="AT628" s="102" t="s">
        <v>34</v>
      </c>
      <c r="AU628" s="109">
        <v>24</v>
      </c>
      <c r="AV628" s="100">
        <f>54.67-28.67</f>
        <v>26</v>
      </c>
      <c r="AW628" s="105">
        <v>0</v>
      </c>
      <c r="AX628" s="216">
        <f t="shared" ref="AX628:AX634" si="356">IFERROR((AG628/AF628)*100, "")</f>
        <v>0.61725706542780234</v>
      </c>
      <c r="AY628" s="217">
        <f t="shared" ref="AY628:AY634" si="357">ROUNDUP(AG628*AH628,0)</f>
        <v>20337</v>
      </c>
      <c r="AZ628" s="107"/>
      <c r="BA628" s="94">
        <v>45549.15625</v>
      </c>
      <c r="BB628" s="94">
        <v>45549.159722222219</v>
      </c>
      <c r="BC628" s="94">
        <v>45549.159722222219</v>
      </c>
      <c r="BD628" s="94">
        <v>45549.284722222219</v>
      </c>
      <c r="BE628" s="95">
        <f t="shared" ref="BE628:BE635" si="358">+BD628-BA628</f>
        <v>0.12847222221898846</v>
      </c>
      <c r="BF628" s="95">
        <v>0</v>
      </c>
      <c r="BG628" s="95">
        <v>0</v>
      </c>
      <c r="BH628" s="95">
        <f t="shared" ref="BH628:BJ635" si="359">+BB628-BA628</f>
        <v>3.4722222189884633E-3</v>
      </c>
      <c r="BI628" s="95">
        <f t="shared" si="359"/>
        <v>0</v>
      </c>
      <c r="BJ628" s="95">
        <f t="shared" si="359"/>
        <v>0.125</v>
      </c>
      <c r="BK628" s="95">
        <f t="shared" ref="BK628:BK635" si="360">+BI628+BJ628</f>
        <v>0.125</v>
      </c>
      <c r="BL628" s="95">
        <f t="shared" ref="BL628:BL635" si="361">+BE628-BH628-BF628-BG628</f>
        <v>0.125</v>
      </c>
      <c r="BM628" s="95" t="str">
        <f t="shared" ref="BM628:BM635" si="362">IF(VALUE(BE628)&lt;=VALUE("05:00"),"00:00",VALUE(BE628)-VALUE("05:00"))</f>
        <v>00:00</v>
      </c>
      <c r="BN628" s="110"/>
    </row>
    <row r="629" spans="1:66" s="8" customFormat="1" ht="12.75" customHeight="1" x14ac:dyDescent="0.25">
      <c r="A629" s="150">
        <v>571</v>
      </c>
      <c r="B629" s="150">
        <v>29</v>
      </c>
      <c r="C629" s="90">
        <v>3</v>
      </c>
      <c r="D629" s="111" t="s">
        <v>113</v>
      </c>
      <c r="E629" s="210" t="s">
        <v>799</v>
      </c>
      <c r="F629" s="150" t="s">
        <v>32</v>
      </c>
      <c r="G629" s="150" t="s">
        <v>15</v>
      </c>
      <c r="H629" s="150" t="s">
        <v>182</v>
      </c>
      <c r="I629" s="150" t="s">
        <v>832</v>
      </c>
      <c r="J629" s="151">
        <v>45549</v>
      </c>
      <c r="K629" s="135" t="s">
        <v>117</v>
      </c>
      <c r="L629" s="135">
        <v>261005981</v>
      </c>
      <c r="M629" s="151">
        <v>45549</v>
      </c>
      <c r="N629" s="152">
        <v>45549.354166666664</v>
      </c>
      <c r="O629" s="152">
        <v>45549.354166666664</v>
      </c>
      <c r="P629" s="152">
        <v>45549.357638888891</v>
      </c>
      <c r="Q629" s="152">
        <v>45549.5625</v>
      </c>
      <c r="R629" s="152" t="s">
        <v>118</v>
      </c>
      <c r="S629" s="152" t="s">
        <v>118</v>
      </c>
      <c r="T629" s="152">
        <v>45549.625</v>
      </c>
      <c r="U629" s="152">
        <v>45549.791666666664</v>
      </c>
      <c r="V629" s="219">
        <f t="shared" si="354"/>
        <v>0.20833333333575865</v>
      </c>
      <c r="W629" s="203">
        <v>0.20833333333333334</v>
      </c>
      <c r="X629" s="219">
        <f t="shared" si="355"/>
        <v>2.4253099528692701E-12</v>
      </c>
      <c r="Y629" s="96">
        <v>0</v>
      </c>
      <c r="Z629" s="96">
        <v>58</v>
      </c>
      <c r="AA629" s="96">
        <f t="shared" si="334"/>
        <v>58</v>
      </c>
      <c r="AB629" s="97">
        <f t="shared" si="335"/>
        <v>0</v>
      </c>
      <c r="AC629" s="97">
        <f t="shared" si="336"/>
        <v>3959.7600000000007</v>
      </c>
      <c r="AD629" s="98">
        <v>3959.76</v>
      </c>
      <c r="AE629" s="98">
        <v>4031.2</v>
      </c>
      <c r="AF629" s="98">
        <v>4042.8</v>
      </c>
      <c r="AG629" s="98">
        <f t="shared" si="337"/>
        <v>83.039999999999964</v>
      </c>
      <c r="AH629" s="99">
        <v>1484</v>
      </c>
      <c r="AI629" s="100">
        <f t="shared" si="338"/>
        <v>5999515.2000000002</v>
      </c>
      <c r="AJ629" s="100">
        <f t="shared" si="352"/>
        <v>0</v>
      </c>
      <c r="AK629" s="100">
        <v>0</v>
      </c>
      <c r="AL629" s="100">
        <v>24140</v>
      </c>
      <c r="AM629" s="100">
        <v>0</v>
      </c>
      <c r="AN629" s="100">
        <v>0</v>
      </c>
      <c r="AO629" s="100">
        <v>0</v>
      </c>
      <c r="AP629" s="100">
        <f t="shared" si="340"/>
        <v>301183</v>
      </c>
      <c r="AQ629" s="101">
        <f t="shared" si="353"/>
        <v>6324839</v>
      </c>
      <c r="AR629" s="101">
        <v>0</v>
      </c>
      <c r="AS629" s="101">
        <v>0</v>
      </c>
      <c r="AT629" s="102" t="s">
        <v>34</v>
      </c>
      <c r="AU629" s="109">
        <v>7</v>
      </c>
      <c r="AV629" s="100">
        <f>25.2-10.2</f>
        <v>15</v>
      </c>
      <c r="AW629" s="105">
        <v>0</v>
      </c>
      <c r="AX629" s="216">
        <f t="shared" si="356"/>
        <v>2.0540219649747686</v>
      </c>
      <c r="AY629" s="217">
        <f t="shared" si="357"/>
        <v>123232</v>
      </c>
      <c r="AZ629" s="107"/>
      <c r="BA629" s="94">
        <v>45549.354166666664</v>
      </c>
      <c r="BB629" s="94">
        <v>45549.385416666664</v>
      </c>
      <c r="BC629" s="94">
        <v>45549.385416666664</v>
      </c>
      <c r="BD629" s="94">
        <v>45549.576388888891</v>
      </c>
      <c r="BE629" s="95">
        <f t="shared" si="358"/>
        <v>0.22222222222626442</v>
      </c>
      <c r="BF629" s="95">
        <v>0</v>
      </c>
      <c r="BG629" s="95">
        <v>7.3611111111111113E-2</v>
      </c>
      <c r="BH629" s="95">
        <f t="shared" si="359"/>
        <v>3.125E-2</v>
      </c>
      <c r="BI629" s="95">
        <f t="shared" si="359"/>
        <v>0</v>
      </c>
      <c r="BJ629" s="95">
        <f t="shared" si="359"/>
        <v>0.19097222222626442</v>
      </c>
      <c r="BK629" s="95">
        <f t="shared" si="360"/>
        <v>0.19097222222626442</v>
      </c>
      <c r="BL629" s="95">
        <f t="shared" si="361"/>
        <v>0.11736111111515331</v>
      </c>
      <c r="BM629" s="95">
        <f t="shared" si="362"/>
        <v>1.3888888892931078E-2</v>
      </c>
      <c r="BN629" s="110"/>
    </row>
    <row r="630" spans="1:66" s="8" customFormat="1" ht="12.75" customHeight="1" x14ac:dyDescent="0.25">
      <c r="A630" s="150">
        <v>572</v>
      </c>
      <c r="B630" s="150">
        <v>30</v>
      </c>
      <c r="C630" s="90">
        <v>18</v>
      </c>
      <c r="D630" s="111" t="s">
        <v>148</v>
      </c>
      <c r="E630" s="210" t="s">
        <v>766</v>
      </c>
      <c r="F630" s="150" t="s">
        <v>16</v>
      </c>
      <c r="G630" s="150" t="s">
        <v>17</v>
      </c>
      <c r="H630" s="150" t="s">
        <v>150</v>
      </c>
      <c r="I630" s="150" t="s">
        <v>833</v>
      </c>
      <c r="J630" s="151">
        <v>45547</v>
      </c>
      <c r="K630" s="135" t="s">
        <v>122</v>
      </c>
      <c r="L630" s="135">
        <v>461000464</v>
      </c>
      <c r="M630" s="151">
        <v>45550</v>
      </c>
      <c r="N630" s="152">
        <v>45549.5625</v>
      </c>
      <c r="O630" s="152">
        <v>45549.5625</v>
      </c>
      <c r="P630" s="152">
        <v>45549.565972222219</v>
      </c>
      <c r="Q630" s="152">
        <v>45549.770833333336</v>
      </c>
      <c r="R630" s="152" t="s">
        <v>118</v>
      </c>
      <c r="S630" s="152" t="s">
        <v>118</v>
      </c>
      <c r="T630" s="152">
        <v>45549.958333333336</v>
      </c>
      <c r="U630" s="152">
        <v>45550.142361111109</v>
      </c>
      <c r="V630" s="219">
        <f t="shared" si="354"/>
        <v>0.20833333333575865</v>
      </c>
      <c r="W630" s="203">
        <v>0.20833333333333334</v>
      </c>
      <c r="X630" s="219">
        <f t="shared" si="355"/>
        <v>2.4253099528692701E-12</v>
      </c>
      <c r="Y630" s="96">
        <v>0</v>
      </c>
      <c r="Z630" s="96">
        <v>58</v>
      </c>
      <c r="AA630" s="96">
        <f t="shared" si="334"/>
        <v>58</v>
      </c>
      <c r="AB630" s="97">
        <f t="shared" si="335"/>
        <v>0</v>
      </c>
      <c r="AC630" s="97">
        <f t="shared" si="336"/>
        <v>3985.7700000000004</v>
      </c>
      <c r="AD630" s="98">
        <v>3985.77</v>
      </c>
      <c r="AE630" s="98">
        <v>4036.8</v>
      </c>
      <c r="AF630" s="98">
        <v>4043</v>
      </c>
      <c r="AG630" s="98">
        <f t="shared" si="337"/>
        <v>57.230000000000018</v>
      </c>
      <c r="AH630" s="99">
        <v>672.5</v>
      </c>
      <c r="AI630" s="100">
        <f t="shared" si="338"/>
        <v>2718917.5</v>
      </c>
      <c r="AJ630" s="100">
        <f t="shared" si="352"/>
        <v>0</v>
      </c>
      <c r="AK630" s="100">
        <v>0</v>
      </c>
      <c r="AL630" s="100">
        <v>24140</v>
      </c>
      <c r="AM630" s="100">
        <v>0</v>
      </c>
      <c r="AN630" s="100">
        <v>0</v>
      </c>
      <c r="AO630" s="100">
        <v>0</v>
      </c>
      <c r="AP630" s="100">
        <f t="shared" si="340"/>
        <v>137153</v>
      </c>
      <c r="AQ630" s="101">
        <f t="shared" si="353"/>
        <v>2880211</v>
      </c>
      <c r="AR630" s="101">
        <v>0</v>
      </c>
      <c r="AS630" s="101">
        <v>0</v>
      </c>
      <c r="AT630" s="102" t="s">
        <v>34</v>
      </c>
      <c r="AU630" s="109">
        <v>2</v>
      </c>
      <c r="AV630" s="100">
        <f>7.41-5.41</f>
        <v>2</v>
      </c>
      <c r="AW630" s="105">
        <v>0</v>
      </c>
      <c r="AX630" s="216">
        <f t="shared" si="356"/>
        <v>1.4155330200346281</v>
      </c>
      <c r="AY630" s="217">
        <f t="shared" si="357"/>
        <v>38488</v>
      </c>
      <c r="AZ630" s="107"/>
      <c r="BA630" s="94">
        <v>45549.5625</v>
      </c>
      <c r="BB630" s="94">
        <v>45549.565972222219</v>
      </c>
      <c r="BC630" s="94">
        <v>45549.59652777778</v>
      </c>
      <c r="BD630" s="94">
        <v>45549.760416666664</v>
      </c>
      <c r="BE630" s="95">
        <f t="shared" si="358"/>
        <v>0.19791666666424135</v>
      </c>
      <c r="BF630" s="95">
        <v>6.2500000000000003E-3</v>
      </c>
      <c r="BG630" s="95">
        <v>4.0972222222222222E-2</v>
      </c>
      <c r="BH630" s="95">
        <f t="shared" si="359"/>
        <v>3.4722222189884633E-3</v>
      </c>
      <c r="BI630" s="95">
        <f t="shared" si="359"/>
        <v>3.0555555560567882E-2</v>
      </c>
      <c r="BJ630" s="95">
        <f t="shared" si="359"/>
        <v>0.163888888884685</v>
      </c>
      <c r="BK630" s="95">
        <f t="shared" si="360"/>
        <v>0.19444444444525288</v>
      </c>
      <c r="BL630" s="95">
        <f t="shared" si="361"/>
        <v>0.14722222222303066</v>
      </c>
      <c r="BM630" s="95" t="str">
        <f t="shared" si="362"/>
        <v>00:00</v>
      </c>
      <c r="BN630" s="110"/>
    </row>
    <row r="631" spans="1:66" s="8" customFormat="1" ht="12.75" customHeight="1" x14ac:dyDescent="0.25">
      <c r="A631" s="150">
        <v>573</v>
      </c>
      <c r="B631" s="150">
        <v>31</v>
      </c>
      <c r="C631" s="90">
        <v>19</v>
      </c>
      <c r="D631" s="111" t="s">
        <v>148</v>
      </c>
      <c r="E631" s="210" t="s">
        <v>766</v>
      </c>
      <c r="F631" s="150" t="s">
        <v>16</v>
      </c>
      <c r="G631" s="150" t="s">
        <v>17</v>
      </c>
      <c r="H631" s="150" t="s">
        <v>150</v>
      </c>
      <c r="I631" s="150" t="s">
        <v>834</v>
      </c>
      <c r="J631" s="151">
        <v>45547</v>
      </c>
      <c r="K631" s="135" t="s">
        <v>117</v>
      </c>
      <c r="L631" s="135">
        <v>461000465</v>
      </c>
      <c r="M631" s="151">
        <v>45550</v>
      </c>
      <c r="N631" s="152">
        <v>45549.833333333336</v>
      </c>
      <c r="O631" s="152">
        <v>45549.8125</v>
      </c>
      <c r="P631" s="152">
        <v>45549.854166666664</v>
      </c>
      <c r="Q631" s="152">
        <v>45549.989583333336</v>
      </c>
      <c r="R631" s="152">
        <v>45549.833333333336</v>
      </c>
      <c r="S631" s="152" t="s">
        <v>118</v>
      </c>
      <c r="T631" s="152">
        <v>45550.25</v>
      </c>
      <c r="U631" s="152">
        <v>45550.369444444441</v>
      </c>
      <c r="V631" s="219">
        <f t="shared" si="354"/>
        <v>0.17708333333575865</v>
      </c>
      <c r="W631" s="203">
        <v>0.20833333333333334</v>
      </c>
      <c r="X631" s="219" t="str">
        <f t="shared" si="355"/>
        <v>00:00</v>
      </c>
      <c r="Y631" s="96">
        <v>2</v>
      </c>
      <c r="Z631" s="96">
        <v>56</v>
      </c>
      <c r="AA631" s="96">
        <f t="shared" si="334"/>
        <v>58</v>
      </c>
      <c r="AB631" s="97">
        <f t="shared" si="335"/>
        <v>140.00896551724139</v>
      </c>
      <c r="AC631" s="97">
        <f t="shared" si="336"/>
        <v>3920.2510344827588</v>
      </c>
      <c r="AD631" s="98">
        <v>4060.26</v>
      </c>
      <c r="AE631" s="98">
        <v>4042.8</v>
      </c>
      <c r="AF631" s="98">
        <v>4071.8</v>
      </c>
      <c r="AG631" s="98">
        <f t="shared" si="337"/>
        <v>11.539999999999964</v>
      </c>
      <c r="AH631" s="99">
        <v>672.5</v>
      </c>
      <c r="AI631" s="100">
        <f t="shared" si="338"/>
        <v>2738285.5</v>
      </c>
      <c r="AJ631" s="100">
        <f t="shared" si="352"/>
        <v>0</v>
      </c>
      <c r="AK631" s="100">
        <v>0</v>
      </c>
      <c r="AL631" s="100">
        <v>24140</v>
      </c>
      <c r="AM631" s="100">
        <v>0</v>
      </c>
      <c r="AN631" s="100">
        <v>0</v>
      </c>
      <c r="AO631" s="100">
        <v>0</v>
      </c>
      <c r="AP631" s="100">
        <f t="shared" si="340"/>
        <v>138122</v>
      </c>
      <c r="AQ631" s="101">
        <f t="shared" si="353"/>
        <v>2900548</v>
      </c>
      <c r="AR631" s="101">
        <v>0</v>
      </c>
      <c r="AS631" s="101">
        <v>0</v>
      </c>
      <c r="AT631" s="102" t="s">
        <v>34</v>
      </c>
      <c r="AU631" s="109">
        <v>17</v>
      </c>
      <c r="AV631" s="100">
        <f>42.75-26.25</f>
        <v>16.5</v>
      </c>
      <c r="AW631" s="105">
        <v>0</v>
      </c>
      <c r="AX631" s="216">
        <f t="shared" si="356"/>
        <v>0.28341274129377581</v>
      </c>
      <c r="AY631" s="217">
        <f t="shared" si="357"/>
        <v>7761</v>
      </c>
      <c r="AZ631" s="107"/>
      <c r="BA631" s="94">
        <v>45549.833333333336</v>
      </c>
      <c r="BB631" s="94">
        <v>45549.854166666664</v>
      </c>
      <c r="BC631" s="94">
        <v>45549.854166666664</v>
      </c>
      <c r="BD631" s="94">
        <v>45550.004166666666</v>
      </c>
      <c r="BE631" s="95">
        <f t="shared" si="358"/>
        <v>0.17083333332993789</v>
      </c>
      <c r="BF631" s="95">
        <v>4.8611111111111112E-3</v>
      </c>
      <c r="BG631" s="95">
        <v>0</v>
      </c>
      <c r="BH631" s="95">
        <f t="shared" si="359"/>
        <v>2.0833333328482695E-2</v>
      </c>
      <c r="BI631" s="95">
        <f t="shared" si="359"/>
        <v>0</v>
      </c>
      <c r="BJ631" s="95">
        <f t="shared" si="359"/>
        <v>0.15000000000145519</v>
      </c>
      <c r="BK631" s="95">
        <f t="shared" si="360"/>
        <v>0.15000000000145519</v>
      </c>
      <c r="BL631" s="95">
        <f t="shared" si="361"/>
        <v>0.14513888889034407</v>
      </c>
      <c r="BM631" s="95" t="str">
        <f t="shared" si="362"/>
        <v>00:00</v>
      </c>
      <c r="BN631" s="110"/>
    </row>
    <row r="632" spans="1:66" s="8" customFormat="1" ht="12.75" customHeight="1" x14ac:dyDescent="0.25">
      <c r="A632" s="150">
        <v>574</v>
      </c>
      <c r="B632" s="150">
        <v>32</v>
      </c>
      <c r="C632" s="90">
        <v>10</v>
      </c>
      <c r="D632" s="111" t="s">
        <v>113</v>
      </c>
      <c r="E632" s="210" t="s">
        <v>759</v>
      </c>
      <c r="F632" s="150" t="s">
        <v>29</v>
      </c>
      <c r="G632" s="150" t="s">
        <v>8</v>
      </c>
      <c r="H632" s="150" t="s">
        <v>124</v>
      </c>
      <c r="I632" s="150" t="s">
        <v>835</v>
      </c>
      <c r="J632" s="151">
        <v>45549</v>
      </c>
      <c r="K632" s="135" t="s">
        <v>122</v>
      </c>
      <c r="L632" s="135">
        <v>461000466</v>
      </c>
      <c r="M632" s="151">
        <v>45550</v>
      </c>
      <c r="N632" s="152">
        <v>45550.166666666664</v>
      </c>
      <c r="O632" s="152">
        <v>45550.145833333336</v>
      </c>
      <c r="P632" s="152">
        <v>45550.1875</v>
      </c>
      <c r="Q632" s="152">
        <v>45550.354166666664</v>
      </c>
      <c r="R632" s="152">
        <v>45550.166666666664</v>
      </c>
      <c r="S632" s="152" t="s">
        <v>118</v>
      </c>
      <c r="T632" s="152">
        <v>45550.479166666664</v>
      </c>
      <c r="U632" s="152">
        <v>45550.543749999997</v>
      </c>
      <c r="V632" s="219">
        <f t="shared" si="354"/>
        <v>0.20833333332848269</v>
      </c>
      <c r="W632" s="203">
        <v>0.20833333333333334</v>
      </c>
      <c r="X632" s="219" t="str">
        <f t="shared" si="355"/>
        <v>00:00</v>
      </c>
      <c r="Y632" s="96">
        <v>0</v>
      </c>
      <c r="Z632" s="96">
        <v>58</v>
      </c>
      <c r="AA632" s="96">
        <f t="shared" si="334"/>
        <v>58</v>
      </c>
      <c r="AB632" s="97">
        <f t="shared" si="335"/>
        <v>0</v>
      </c>
      <c r="AC632" s="97">
        <f t="shared" si="336"/>
        <v>3968.71</v>
      </c>
      <c r="AD632" s="98">
        <v>3968.71</v>
      </c>
      <c r="AE632" s="98">
        <v>4030.4</v>
      </c>
      <c r="AF632" s="98">
        <v>4037.8</v>
      </c>
      <c r="AG632" s="98">
        <f t="shared" si="337"/>
        <v>69.090000000000146</v>
      </c>
      <c r="AH632" s="99">
        <v>797.2</v>
      </c>
      <c r="AI632" s="100">
        <f t="shared" si="338"/>
        <v>3218934.16</v>
      </c>
      <c r="AJ632" s="100">
        <f>(0.6*AH632)*2</f>
        <v>956.64</v>
      </c>
      <c r="AK632" s="100">
        <v>0</v>
      </c>
      <c r="AL632" s="100">
        <v>0</v>
      </c>
      <c r="AM632" s="100">
        <v>0</v>
      </c>
      <c r="AN632" s="100">
        <v>0</v>
      </c>
      <c r="AO632" s="100">
        <v>0</v>
      </c>
      <c r="AP632" s="100">
        <f t="shared" si="340"/>
        <v>160995</v>
      </c>
      <c r="AQ632" s="101">
        <f t="shared" si="353"/>
        <v>3380886</v>
      </c>
      <c r="AR632" s="101">
        <v>0</v>
      </c>
      <c r="AS632" s="101">
        <v>0</v>
      </c>
      <c r="AT632" s="102" t="s">
        <v>34</v>
      </c>
      <c r="AU632" s="109" t="s">
        <v>118</v>
      </c>
      <c r="AV632" s="100">
        <v>0</v>
      </c>
      <c r="AW632" s="105">
        <v>0</v>
      </c>
      <c r="AX632" s="216">
        <f t="shared" si="356"/>
        <v>1.7110802912477125</v>
      </c>
      <c r="AY632" s="217">
        <f t="shared" si="357"/>
        <v>55079</v>
      </c>
      <c r="AZ632" s="107"/>
      <c r="BA632" s="94">
        <v>45550.166666666664</v>
      </c>
      <c r="BB632" s="94">
        <v>45550.1875</v>
      </c>
      <c r="BC632" s="94">
        <v>45550.1875</v>
      </c>
      <c r="BD632" s="94">
        <v>45550.333333333336</v>
      </c>
      <c r="BE632" s="95">
        <f t="shared" si="358"/>
        <v>0.16666666667151731</v>
      </c>
      <c r="BF632" s="95">
        <v>0</v>
      </c>
      <c r="BG632" s="95">
        <v>0</v>
      </c>
      <c r="BH632" s="95">
        <f t="shared" si="359"/>
        <v>2.0833333335758653E-2</v>
      </c>
      <c r="BI632" s="95">
        <f t="shared" si="359"/>
        <v>0</v>
      </c>
      <c r="BJ632" s="95">
        <f t="shared" si="359"/>
        <v>0.14583333333575865</v>
      </c>
      <c r="BK632" s="95">
        <f t="shared" si="360"/>
        <v>0.14583333333575865</v>
      </c>
      <c r="BL632" s="95">
        <f t="shared" si="361"/>
        <v>0.14583333333575865</v>
      </c>
      <c r="BM632" s="95" t="str">
        <f t="shared" si="362"/>
        <v>00:00</v>
      </c>
      <c r="BN632" s="110"/>
    </row>
    <row r="633" spans="1:66" s="8" customFormat="1" ht="12.75" customHeight="1" x14ac:dyDescent="0.25">
      <c r="A633" s="150">
        <v>575</v>
      </c>
      <c r="B633" s="150">
        <v>33</v>
      </c>
      <c r="C633" s="90">
        <v>27</v>
      </c>
      <c r="D633" s="111" t="s">
        <v>113</v>
      </c>
      <c r="E633" s="210" t="s">
        <v>711</v>
      </c>
      <c r="F633" s="150" t="s">
        <v>32</v>
      </c>
      <c r="G633" s="150" t="s">
        <v>8</v>
      </c>
      <c r="H633" s="150" t="s">
        <v>779</v>
      </c>
      <c r="I633" s="150" t="s">
        <v>836</v>
      </c>
      <c r="J633" s="151">
        <v>45549</v>
      </c>
      <c r="K633" s="135" t="s">
        <v>117</v>
      </c>
      <c r="L633" s="135">
        <v>281000239</v>
      </c>
      <c r="M633" s="151">
        <v>45551</v>
      </c>
      <c r="N633" s="152">
        <v>45550.416666666664</v>
      </c>
      <c r="O633" s="152">
        <v>45550.416666666664</v>
      </c>
      <c r="P633" s="152">
        <v>45550.430555555555</v>
      </c>
      <c r="Q633" s="152">
        <v>45550.625</v>
      </c>
      <c r="R633" s="152" t="s">
        <v>118</v>
      </c>
      <c r="S633" s="152" t="s">
        <v>118</v>
      </c>
      <c r="T633" s="152">
        <v>45550.6875</v>
      </c>
      <c r="U633" s="152">
        <v>45550.752083333333</v>
      </c>
      <c r="V633" s="219">
        <f t="shared" si="354"/>
        <v>0.20833333333575865</v>
      </c>
      <c r="W633" s="203">
        <v>0.20833333333333334</v>
      </c>
      <c r="X633" s="219">
        <f t="shared" si="355"/>
        <v>2.4253099528692701E-12</v>
      </c>
      <c r="Y633" s="96">
        <v>0</v>
      </c>
      <c r="Z633" s="96">
        <v>59</v>
      </c>
      <c r="AA633" s="96">
        <f t="shared" si="334"/>
        <v>59</v>
      </c>
      <c r="AB633" s="97">
        <f t="shared" si="335"/>
        <v>0</v>
      </c>
      <c r="AC633" s="97">
        <f t="shared" si="336"/>
        <v>4041.04</v>
      </c>
      <c r="AD633" s="98">
        <v>4041.04</v>
      </c>
      <c r="AE633" s="98">
        <v>4101.8</v>
      </c>
      <c r="AF633" s="98">
        <v>4108.2</v>
      </c>
      <c r="AG633" s="98">
        <f t="shared" si="337"/>
        <v>67.159999999999854</v>
      </c>
      <c r="AH633" s="99">
        <v>1435.6</v>
      </c>
      <c r="AI633" s="100">
        <f t="shared" si="338"/>
        <v>5897731.919999999</v>
      </c>
      <c r="AJ633" s="100">
        <f>(0.4*AH633)*2</f>
        <v>1148.48</v>
      </c>
      <c r="AK633" s="100">
        <v>0</v>
      </c>
      <c r="AL633" s="100">
        <v>0</v>
      </c>
      <c r="AM633" s="100">
        <v>0</v>
      </c>
      <c r="AN633" s="100">
        <v>0</v>
      </c>
      <c r="AO633" s="100">
        <v>0</v>
      </c>
      <c r="AP633" s="100">
        <f t="shared" si="340"/>
        <v>294945</v>
      </c>
      <c r="AQ633" s="101">
        <f t="shared" si="353"/>
        <v>6193826</v>
      </c>
      <c r="AR633" s="101">
        <v>0</v>
      </c>
      <c r="AS633" s="101">
        <v>0</v>
      </c>
      <c r="AT633" s="102" t="s">
        <v>34</v>
      </c>
      <c r="AU633" s="109" t="s">
        <v>118</v>
      </c>
      <c r="AV633" s="100">
        <v>0</v>
      </c>
      <c r="AW633" s="105">
        <v>0</v>
      </c>
      <c r="AX633" s="216">
        <f t="shared" si="356"/>
        <v>1.6347792220437141</v>
      </c>
      <c r="AY633" s="217">
        <f t="shared" si="357"/>
        <v>96415</v>
      </c>
      <c r="AZ633" s="107"/>
      <c r="BA633" s="94">
        <v>45550.416666666664</v>
      </c>
      <c r="BB633" s="94">
        <v>45550.430555555555</v>
      </c>
      <c r="BC633" s="94">
        <v>45550.444444444445</v>
      </c>
      <c r="BD633" s="94">
        <v>45550.62777777778</v>
      </c>
      <c r="BE633" s="95">
        <f t="shared" si="358"/>
        <v>0.211111111115315</v>
      </c>
      <c r="BF633" s="95">
        <v>1.3888888888888888E-2</v>
      </c>
      <c r="BG633" s="95">
        <v>3.6111111111111108E-2</v>
      </c>
      <c r="BH633" s="95">
        <f t="shared" si="359"/>
        <v>1.3888888890505768E-2</v>
      </c>
      <c r="BI633" s="95">
        <f t="shared" si="359"/>
        <v>1.3888888890505768E-2</v>
      </c>
      <c r="BJ633" s="95">
        <f t="shared" si="359"/>
        <v>0.18333333333430346</v>
      </c>
      <c r="BK633" s="95">
        <f t="shared" si="360"/>
        <v>0.19722222222480923</v>
      </c>
      <c r="BL633" s="95">
        <f t="shared" si="361"/>
        <v>0.14722222222480924</v>
      </c>
      <c r="BM633" s="95">
        <f t="shared" si="362"/>
        <v>2.7777777819816551E-3</v>
      </c>
      <c r="BN633" s="110"/>
    </row>
    <row r="634" spans="1:66" s="8" customFormat="1" ht="12.75" customHeight="1" x14ac:dyDescent="0.25">
      <c r="A634" s="150">
        <v>576</v>
      </c>
      <c r="B634" s="150">
        <v>34</v>
      </c>
      <c r="C634" s="90">
        <v>20</v>
      </c>
      <c r="D634" s="111" t="s">
        <v>148</v>
      </c>
      <c r="E634" s="210" t="s">
        <v>766</v>
      </c>
      <c r="F634" s="150" t="s">
        <v>16</v>
      </c>
      <c r="G634" s="150" t="s">
        <v>17</v>
      </c>
      <c r="H634" s="150" t="s">
        <v>150</v>
      </c>
      <c r="I634" s="150" t="s">
        <v>837</v>
      </c>
      <c r="J634" s="151">
        <v>45549</v>
      </c>
      <c r="K634" s="135" t="s">
        <v>122</v>
      </c>
      <c r="L634" s="135">
        <v>461000467</v>
      </c>
      <c r="M634" s="151">
        <v>45551</v>
      </c>
      <c r="N634" s="152">
        <v>45550.604166666664</v>
      </c>
      <c r="O634" s="152">
        <v>45550.604166666664</v>
      </c>
      <c r="P634" s="152">
        <v>45550.607638888891</v>
      </c>
      <c r="Q634" s="152">
        <v>45550.8125</v>
      </c>
      <c r="R634" s="152" t="s">
        <v>118</v>
      </c>
      <c r="S634" s="152">
        <v>45550.84375</v>
      </c>
      <c r="T634" s="152">
        <v>45550.854166666664</v>
      </c>
      <c r="U634" s="152">
        <v>45550.989583333336</v>
      </c>
      <c r="V634" s="219">
        <f t="shared" si="354"/>
        <v>0.20833333333575865</v>
      </c>
      <c r="W634" s="203">
        <v>0.20833333333333334</v>
      </c>
      <c r="X634" s="219">
        <f t="shared" si="355"/>
        <v>2.4253099528692701E-12</v>
      </c>
      <c r="Y634" s="96">
        <v>2</v>
      </c>
      <c r="Z634" s="96">
        <v>56</v>
      </c>
      <c r="AA634" s="96">
        <f t="shared" si="334"/>
        <v>58</v>
      </c>
      <c r="AB634" s="97">
        <f t="shared" si="335"/>
        <v>135.84</v>
      </c>
      <c r="AC634" s="97">
        <f t="shared" si="336"/>
        <v>3803.52</v>
      </c>
      <c r="AD634" s="98">
        <v>3939.36</v>
      </c>
      <c r="AE634" s="98">
        <v>4020.8</v>
      </c>
      <c r="AF634" s="98">
        <v>4027</v>
      </c>
      <c r="AG634" s="98">
        <f t="shared" si="337"/>
        <v>87.639999999999873</v>
      </c>
      <c r="AH634" s="99">
        <v>672.5</v>
      </c>
      <c r="AI634" s="100">
        <f t="shared" si="338"/>
        <v>2708157.5</v>
      </c>
      <c r="AJ634" s="100">
        <f t="shared" ref="AJ634:AJ642" si="363">(0*AH634)*2</f>
        <v>0</v>
      </c>
      <c r="AK634" s="100">
        <v>0</v>
      </c>
      <c r="AL634" s="100">
        <v>24140</v>
      </c>
      <c r="AM634" s="100">
        <v>0</v>
      </c>
      <c r="AN634" s="100">
        <v>0</v>
      </c>
      <c r="AO634" s="100">
        <v>0</v>
      </c>
      <c r="AP634" s="100">
        <f t="shared" si="340"/>
        <v>136615</v>
      </c>
      <c r="AQ634" s="101">
        <f t="shared" si="353"/>
        <v>2868913</v>
      </c>
      <c r="AR634" s="101">
        <v>0</v>
      </c>
      <c r="AS634" s="101">
        <v>0</v>
      </c>
      <c r="AT634" s="102" t="s">
        <v>34</v>
      </c>
      <c r="AU634" s="109">
        <v>2</v>
      </c>
      <c r="AV634" s="100">
        <f>12.47-4.97</f>
        <v>7.5000000000000009</v>
      </c>
      <c r="AW634" s="105">
        <v>1</v>
      </c>
      <c r="AX634" s="216">
        <f t="shared" si="356"/>
        <v>2.1763099081201855</v>
      </c>
      <c r="AY634" s="217">
        <f t="shared" si="357"/>
        <v>58938</v>
      </c>
      <c r="AZ634" s="107"/>
      <c r="BA634" s="94">
        <v>45550.604166666664</v>
      </c>
      <c r="BB634" s="94">
        <v>45550.607638888891</v>
      </c>
      <c r="BC634" s="94">
        <v>45550.681944444441</v>
      </c>
      <c r="BD634" s="94">
        <v>45550.82916666667</v>
      </c>
      <c r="BE634" s="95">
        <f t="shared" si="358"/>
        <v>0.22500000000582077</v>
      </c>
      <c r="BF634" s="95">
        <v>2.5000000000000001E-2</v>
      </c>
      <c r="BG634" s="95">
        <v>5.8333333333333334E-2</v>
      </c>
      <c r="BH634" s="95">
        <f t="shared" si="359"/>
        <v>3.4722222262644209E-3</v>
      </c>
      <c r="BI634" s="95">
        <f t="shared" si="359"/>
        <v>7.4305555550381541E-2</v>
      </c>
      <c r="BJ634" s="95">
        <f t="shared" si="359"/>
        <v>0.1472222222291748</v>
      </c>
      <c r="BK634" s="95">
        <f t="shared" si="360"/>
        <v>0.22152777777955635</v>
      </c>
      <c r="BL634" s="95">
        <f t="shared" si="361"/>
        <v>0.13819444444622303</v>
      </c>
      <c r="BM634" s="95">
        <f t="shared" si="362"/>
        <v>1.6666666672487424E-2</v>
      </c>
      <c r="BN634" s="110"/>
    </row>
    <row r="635" spans="1:66" s="8" customFormat="1" ht="12.75" customHeight="1" x14ac:dyDescent="0.25">
      <c r="A635" s="115">
        <v>577</v>
      </c>
      <c r="B635" s="115">
        <v>35</v>
      </c>
      <c r="C635" s="90">
        <v>17</v>
      </c>
      <c r="D635" s="115" t="s">
        <v>148</v>
      </c>
      <c r="E635" s="210" t="s">
        <v>655</v>
      </c>
      <c r="F635" s="115" t="s">
        <v>19</v>
      </c>
      <c r="G635" s="115" t="s">
        <v>17</v>
      </c>
      <c r="H635" s="115" t="s">
        <v>150</v>
      </c>
      <c r="I635" s="115" t="s">
        <v>838</v>
      </c>
      <c r="J635" s="117">
        <v>45550</v>
      </c>
      <c r="K635" s="116" t="s">
        <v>117</v>
      </c>
      <c r="L635" s="116">
        <v>461000468</v>
      </c>
      <c r="M635" s="117">
        <v>45551</v>
      </c>
      <c r="N635" s="118">
        <v>45550.791666666664</v>
      </c>
      <c r="O635" s="118">
        <v>45550.791666666664</v>
      </c>
      <c r="P635" s="118">
        <v>45550.795138888891</v>
      </c>
      <c r="Q635" s="118">
        <v>45550.989583333336</v>
      </c>
      <c r="R635" s="118" t="s">
        <v>118</v>
      </c>
      <c r="S635" s="118" t="s">
        <v>118</v>
      </c>
      <c r="T635" s="118">
        <v>45551.006944444445</v>
      </c>
      <c r="U635" s="118">
        <v>45551.15625</v>
      </c>
      <c r="V635" s="119">
        <f t="shared" si="354"/>
        <v>0.19791666667151731</v>
      </c>
      <c r="W635" s="185">
        <v>0.20833333333333334</v>
      </c>
      <c r="X635" s="119" t="str">
        <f t="shared" si="355"/>
        <v>00:00</v>
      </c>
      <c r="Y635" s="96">
        <v>0</v>
      </c>
      <c r="Z635" s="96">
        <v>40</v>
      </c>
      <c r="AA635" s="96">
        <f t="shared" si="334"/>
        <v>40</v>
      </c>
      <c r="AB635" s="97">
        <f t="shared" si="335"/>
        <v>0</v>
      </c>
      <c r="AC635" s="97">
        <f t="shared" si="336"/>
        <v>2712.91</v>
      </c>
      <c r="AD635" s="98">
        <f>4072.12-1359.21</f>
        <v>2712.91</v>
      </c>
      <c r="AE635" s="98">
        <f>4113.8-1398.2</f>
        <v>2715.6000000000004</v>
      </c>
      <c r="AF635" s="98">
        <f>4125.6-1405.2</f>
        <v>2720.4000000000005</v>
      </c>
      <c r="AG635" s="98">
        <f t="shared" si="337"/>
        <v>7.4900000000006912</v>
      </c>
      <c r="AH635" s="99">
        <v>672.5</v>
      </c>
      <c r="AI635" s="100">
        <f t="shared" si="338"/>
        <v>1829469.0000000005</v>
      </c>
      <c r="AJ635" s="100">
        <f t="shared" si="363"/>
        <v>0</v>
      </c>
      <c r="AK635" s="100">
        <v>0</v>
      </c>
      <c r="AL635" s="100">
        <v>24290</v>
      </c>
      <c r="AM635" s="100">
        <v>0</v>
      </c>
      <c r="AN635" s="100">
        <v>0</v>
      </c>
      <c r="AO635" s="100">
        <v>0</v>
      </c>
      <c r="AP635" s="100">
        <f t="shared" si="340"/>
        <v>92688</v>
      </c>
      <c r="AQ635" s="101">
        <f t="shared" si="353"/>
        <v>1946447</v>
      </c>
      <c r="AR635" s="101">
        <v>0</v>
      </c>
      <c r="AS635" s="101">
        <v>0</v>
      </c>
      <c r="AT635" s="137" t="s">
        <v>34</v>
      </c>
      <c r="AU635" s="120">
        <v>5</v>
      </c>
      <c r="AV635" s="121">
        <f>15.2-10.7</f>
        <v>4.5</v>
      </c>
      <c r="AW635" s="105">
        <v>0</v>
      </c>
      <c r="AX635" s="140">
        <f>IFERROR(((AG635+AG636)/(AF635+AF636))*100, "")</f>
        <v>1.2962962962963132</v>
      </c>
      <c r="AY635" s="141">
        <f>ROUNDUP((AG635+AG636)*AH635,0)</f>
        <v>35966</v>
      </c>
      <c r="AZ635" s="107"/>
      <c r="BA635" s="118">
        <v>45550.791666666664</v>
      </c>
      <c r="BB635" s="118">
        <v>45550.795138888891</v>
      </c>
      <c r="BC635" s="118">
        <v>45550.836805555555</v>
      </c>
      <c r="BD635" s="118">
        <v>45550.975694444445</v>
      </c>
      <c r="BE635" s="119">
        <f t="shared" si="358"/>
        <v>0.18402777778101154</v>
      </c>
      <c r="BF635" s="119">
        <v>0</v>
      </c>
      <c r="BG635" s="119">
        <v>4.1666666666666664E-2</v>
      </c>
      <c r="BH635" s="119">
        <f t="shared" si="359"/>
        <v>3.4722222262644209E-3</v>
      </c>
      <c r="BI635" s="119">
        <f t="shared" si="359"/>
        <v>4.1666666664241347E-2</v>
      </c>
      <c r="BJ635" s="119">
        <f t="shared" si="359"/>
        <v>0.13888888889050577</v>
      </c>
      <c r="BK635" s="119">
        <f t="shared" si="360"/>
        <v>0.18055555555474712</v>
      </c>
      <c r="BL635" s="119">
        <f t="shared" si="361"/>
        <v>0.13888888888808046</v>
      </c>
      <c r="BM635" s="119" t="str">
        <f t="shared" si="362"/>
        <v>00:00</v>
      </c>
      <c r="BN635" s="110" t="s">
        <v>839</v>
      </c>
    </row>
    <row r="636" spans="1:66" s="8" customFormat="1" ht="12.75" customHeight="1" x14ac:dyDescent="0.25">
      <c r="A636" s="122"/>
      <c r="B636" s="122"/>
      <c r="C636" s="90">
        <v>1</v>
      </c>
      <c r="D636" s="122"/>
      <c r="E636" s="210" t="s">
        <v>840</v>
      </c>
      <c r="F636" s="122"/>
      <c r="G636" s="122"/>
      <c r="H636" s="122"/>
      <c r="I636" s="122"/>
      <c r="J636" s="124"/>
      <c r="K636" s="123"/>
      <c r="L636" s="123"/>
      <c r="M636" s="124"/>
      <c r="N636" s="125"/>
      <c r="O636" s="125"/>
      <c r="P636" s="125"/>
      <c r="Q636" s="125"/>
      <c r="R636" s="125"/>
      <c r="S636" s="125"/>
      <c r="T636" s="125"/>
      <c r="U636" s="125"/>
      <c r="V636" s="126"/>
      <c r="W636" s="189"/>
      <c r="X636" s="126"/>
      <c r="Y636" s="96">
        <v>0</v>
      </c>
      <c r="Z636" s="96">
        <v>19</v>
      </c>
      <c r="AA636" s="96">
        <f t="shared" si="334"/>
        <v>19</v>
      </c>
      <c r="AB636" s="97">
        <f t="shared" si="335"/>
        <v>0</v>
      </c>
      <c r="AC636" s="97">
        <f t="shared" si="336"/>
        <v>1359.21</v>
      </c>
      <c r="AD636" s="98">
        <v>1359.21</v>
      </c>
      <c r="AE636" s="98">
        <v>1398.2</v>
      </c>
      <c r="AF636" s="98">
        <v>1405.2</v>
      </c>
      <c r="AG636" s="98">
        <f t="shared" si="337"/>
        <v>45.990000000000009</v>
      </c>
      <c r="AH636" s="99">
        <v>672.5</v>
      </c>
      <c r="AI636" s="100">
        <f t="shared" si="338"/>
        <v>944997</v>
      </c>
      <c r="AJ636" s="100">
        <f t="shared" si="363"/>
        <v>0</v>
      </c>
      <c r="AK636" s="100">
        <v>0</v>
      </c>
      <c r="AL636" s="100">
        <v>0</v>
      </c>
      <c r="AM636" s="100">
        <v>0</v>
      </c>
      <c r="AN636" s="100">
        <v>0</v>
      </c>
      <c r="AO636" s="100">
        <v>0</v>
      </c>
      <c r="AP636" s="100">
        <f t="shared" ref="AP636:AP667" si="364">ROUNDUP(SUM(AI636:AO636)*5%,0)</f>
        <v>47250</v>
      </c>
      <c r="AQ636" s="101">
        <f t="shared" si="353"/>
        <v>992247</v>
      </c>
      <c r="AR636" s="101">
        <v>0</v>
      </c>
      <c r="AS636" s="101">
        <v>0</v>
      </c>
      <c r="AT636" s="138"/>
      <c r="AU636" s="127"/>
      <c r="AV636" s="128"/>
      <c r="AW636" s="105">
        <v>0</v>
      </c>
      <c r="AX636" s="144"/>
      <c r="AY636" s="145"/>
      <c r="AZ636" s="107"/>
      <c r="BA636" s="125"/>
      <c r="BB636" s="125"/>
      <c r="BC636" s="125"/>
      <c r="BD636" s="125"/>
      <c r="BE636" s="126"/>
      <c r="BF636" s="126"/>
      <c r="BG636" s="126"/>
      <c r="BH636" s="126"/>
      <c r="BI636" s="126"/>
      <c r="BJ636" s="126"/>
      <c r="BK636" s="126"/>
      <c r="BL636" s="126"/>
      <c r="BM636" s="126"/>
      <c r="BN636" s="110" t="s">
        <v>841</v>
      </c>
    </row>
    <row r="637" spans="1:66" s="8" customFormat="1" ht="12.75" customHeight="1" x14ac:dyDescent="0.25">
      <c r="A637" s="150">
        <v>578</v>
      </c>
      <c r="B637" s="150">
        <v>36</v>
      </c>
      <c r="C637" s="90">
        <v>11</v>
      </c>
      <c r="D637" s="111" t="s">
        <v>113</v>
      </c>
      <c r="E637" s="210" t="s">
        <v>759</v>
      </c>
      <c r="F637" s="150" t="s">
        <v>29</v>
      </c>
      <c r="G637" s="150" t="s">
        <v>8</v>
      </c>
      <c r="H637" s="150" t="s">
        <v>124</v>
      </c>
      <c r="I637" s="150" t="s">
        <v>842</v>
      </c>
      <c r="J637" s="151">
        <v>45550</v>
      </c>
      <c r="K637" s="135" t="s">
        <v>122</v>
      </c>
      <c r="L637" s="135">
        <v>261005982</v>
      </c>
      <c r="M637" s="151">
        <v>45551</v>
      </c>
      <c r="N637" s="152">
        <v>45551.041666666664</v>
      </c>
      <c r="O637" s="152">
        <v>45551.041666666664</v>
      </c>
      <c r="P637" s="152">
        <v>45551.0625</v>
      </c>
      <c r="Q637" s="152">
        <v>45551.25</v>
      </c>
      <c r="R637" s="152" t="s">
        <v>118</v>
      </c>
      <c r="S637" s="152" t="s">
        <v>118</v>
      </c>
      <c r="T637" s="152">
        <v>45551.322916666664</v>
      </c>
      <c r="U637" s="152">
        <v>45551.434027777781</v>
      </c>
      <c r="V637" s="219">
        <f t="shared" ref="V637:V646" si="365">+Q637-O637</f>
        <v>0.20833333333575865</v>
      </c>
      <c r="W637" s="203">
        <v>0.20833333333333334</v>
      </c>
      <c r="X637" s="219">
        <f t="shared" ref="X637:X646" si="366">IF(VALUE(V637)&lt;=VALUE("05:00"),"00:00",VALUE(V637)-VALUE("05:00"))</f>
        <v>2.4253099528692701E-12</v>
      </c>
      <c r="Y637" s="96">
        <v>0</v>
      </c>
      <c r="Z637" s="96">
        <v>57</v>
      </c>
      <c r="AA637" s="96">
        <f t="shared" si="334"/>
        <v>57</v>
      </c>
      <c r="AB637" s="97">
        <f t="shared" si="335"/>
        <v>0</v>
      </c>
      <c r="AC637" s="97">
        <f t="shared" si="336"/>
        <v>3880.43</v>
      </c>
      <c r="AD637" s="98">
        <v>3880.43</v>
      </c>
      <c r="AE637" s="98">
        <v>3957.3</v>
      </c>
      <c r="AF637" s="98">
        <v>3964.4</v>
      </c>
      <c r="AG637" s="98">
        <f t="shared" si="337"/>
        <v>83.970000000000255</v>
      </c>
      <c r="AH637" s="99">
        <v>797.2</v>
      </c>
      <c r="AI637" s="100">
        <f t="shared" si="338"/>
        <v>3160419.68</v>
      </c>
      <c r="AJ637" s="100">
        <f t="shared" si="363"/>
        <v>0</v>
      </c>
      <c r="AK637" s="100">
        <v>0</v>
      </c>
      <c r="AL637" s="100">
        <v>23990</v>
      </c>
      <c r="AM637" s="100">
        <v>0</v>
      </c>
      <c r="AN637" s="100">
        <v>0</v>
      </c>
      <c r="AO637" s="100">
        <v>0</v>
      </c>
      <c r="AP637" s="100">
        <f t="shared" si="364"/>
        <v>159221</v>
      </c>
      <c r="AQ637" s="101">
        <f t="shared" si="353"/>
        <v>3343631</v>
      </c>
      <c r="AR637" s="101">
        <v>0</v>
      </c>
      <c r="AS637" s="101">
        <v>0</v>
      </c>
      <c r="AT637" s="102" t="s">
        <v>34</v>
      </c>
      <c r="AU637" s="109">
        <v>3</v>
      </c>
      <c r="AV637" s="100">
        <f>8.8-6.3</f>
        <v>2.5000000000000009</v>
      </c>
      <c r="AW637" s="105">
        <v>0</v>
      </c>
      <c r="AX637" s="216">
        <f t="shared" ref="AX637:AX645" si="367">IFERROR((AG637/AF637)*100, "")</f>
        <v>2.1181010997881207</v>
      </c>
      <c r="AY637" s="217">
        <f t="shared" ref="AY637:AY645" si="368">ROUNDUP(AG637*AH637,0)</f>
        <v>66941</v>
      </c>
      <c r="AZ637" s="107"/>
      <c r="BA637" s="94">
        <v>45551.041666666664</v>
      </c>
      <c r="BB637" s="94">
        <v>45551.0625</v>
      </c>
      <c r="BC637" s="94">
        <v>45551.069444444445</v>
      </c>
      <c r="BD637" s="94">
        <v>45551.216666666667</v>
      </c>
      <c r="BE637" s="95">
        <f t="shared" ref="BE637:BE646" si="369">+BD637-BA637</f>
        <v>0.17500000000291038</v>
      </c>
      <c r="BF637" s="95">
        <v>0</v>
      </c>
      <c r="BG637" s="95">
        <v>1.0416666666666666E-2</v>
      </c>
      <c r="BH637" s="95">
        <f t="shared" ref="BH637:BJ646" si="370">+BB637-BA637</f>
        <v>2.0833333335758653E-2</v>
      </c>
      <c r="BI637" s="95">
        <f t="shared" si="370"/>
        <v>6.9444444452528842E-3</v>
      </c>
      <c r="BJ637" s="95">
        <f t="shared" si="370"/>
        <v>0.14722222222189885</v>
      </c>
      <c r="BK637" s="95">
        <f t="shared" ref="BK637:BK646" si="371">+BI637+BJ637</f>
        <v>0.15416666666715173</v>
      </c>
      <c r="BL637" s="95">
        <f t="shared" ref="BL637:BL646" si="372">+BE637-BH637-BF637-BG637</f>
        <v>0.14375000000048507</v>
      </c>
      <c r="BM637" s="95" t="str">
        <f t="shared" ref="BM637:BM646" si="373">IF(VALUE(BE637)&lt;=VALUE("05:00"),"00:00",VALUE(BE637)-VALUE("05:00"))</f>
        <v>00:00</v>
      </c>
      <c r="BN637" s="110"/>
    </row>
    <row r="638" spans="1:66" s="8" customFormat="1" ht="12.75" customHeight="1" x14ac:dyDescent="0.25">
      <c r="A638" s="150">
        <v>579</v>
      </c>
      <c r="B638" s="150">
        <v>37</v>
      </c>
      <c r="C638" s="90">
        <v>4</v>
      </c>
      <c r="D638" s="111" t="s">
        <v>113</v>
      </c>
      <c r="E638" s="210" t="s">
        <v>799</v>
      </c>
      <c r="F638" s="150" t="s">
        <v>32</v>
      </c>
      <c r="G638" s="150" t="s">
        <v>15</v>
      </c>
      <c r="H638" s="150" t="s">
        <v>146</v>
      </c>
      <c r="I638" s="150" t="s">
        <v>843</v>
      </c>
      <c r="J638" s="151">
        <v>45551</v>
      </c>
      <c r="K638" s="135" t="s">
        <v>117</v>
      </c>
      <c r="L638" s="135">
        <v>261005983</v>
      </c>
      <c r="M638" s="151">
        <v>45551</v>
      </c>
      <c r="N638" s="152">
        <v>45551.375</v>
      </c>
      <c r="O638" s="152">
        <v>45551.375</v>
      </c>
      <c r="P638" s="152">
        <v>45551.378472222219</v>
      </c>
      <c r="Q638" s="152">
        <v>45551.572916666664</v>
      </c>
      <c r="R638" s="152" t="s">
        <v>118</v>
      </c>
      <c r="S638" s="152" t="s">
        <v>118</v>
      </c>
      <c r="T638" s="152">
        <v>45551.625</v>
      </c>
      <c r="U638" s="152">
        <v>45551.708333333336</v>
      </c>
      <c r="V638" s="219">
        <f t="shared" si="365"/>
        <v>0.19791666666424135</v>
      </c>
      <c r="W638" s="203">
        <v>0.20833333333333334</v>
      </c>
      <c r="X638" s="219" t="str">
        <f t="shared" si="366"/>
        <v>00:00</v>
      </c>
      <c r="Y638" s="96">
        <v>0</v>
      </c>
      <c r="Z638" s="96">
        <v>59</v>
      </c>
      <c r="AA638" s="96">
        <f t="shared" si="334"/>
        <v>59</v>
      </c>
      <c r="AB638" s="97">
        <f t="shared" si="335"/>
        <v>0</v>
      </c>
      <c r="AC638" s="97">
        <f t="shared" si="336"/>
        <v>4076.41</v>
      </c>
      <c r="AD638" s="98">
        <v>4076.41</v>
      </c>
      <c r="AE638" s="98">
        <v>4098.6000000000004</v>
      </c>
      <c r="AF638" s="98">
        <v>4120.2</v>
      </c>
      <c r="AG638" s="98">
        <f t="shared" si="337"/>
        <v>43.789999999999964</v>
      </c>
      <c r="AH638" s="99">
        <v>1398.7</v>
      </c>
      <c r="AI638" s="100">
        <f t="shared" si="338"/>
        <v>5762923.7400000002</v>
      </c>
      <c r="AJ638" s="100">
        <f t="shared" si="363"/>
        <v>0</v>
      </c>
      <c r="AK638" s="100">
        <v>0</v>
      </c>
      <c r="AL638" s="100">
        <v>24290</v>
      </c>
      <c r="AM638" s="100">
        <v>0</v>
      </c>
      <c r="AN638" s="100">
        <v>0</v>
      </c>
      <c r="AO638" s="100">
        <v>0</v>
      </c>
      <c r="AP638" s="100">
        <f t="shared" si="364"/>
        <v>289361</v>
      </c>
      <c r="AQ638" s="101">
        <f t="shared" si="353"/>
        <v>6076575</v>
      </c>
      <c r="AR638" s="101">
        <v>0</v>
      </c>
      <c r="AS638" s="101"/>
      <c r="AT638" s="102" t="s">
        <v>33</v>
      </c>
      <c r="AU638" s="109">
        <v>6</v>
      </c>
      <c r="AV638" s="100">
        <f>25.2-20.7</f>
        <v>4.5</v>
      </c>
      <c r="AW638" s="105">
        <v>0</v>
      </c>
      <c r="AX638" s="216">
        <f t="shared" si="367"/>
        <v>1.0628124848308325</v>
      </c>
      <c r="AY638" s="217">
        <f t="shared" si="368"/>
        <v>61250</v>
      </c>
      <c r="AZ638" s="107"/>
      <c r="BA638" s="94">
        <v>45551.239583333336</v>
      </c>
      <c r="BB638" s="94">
        <v>45551.243055555555</v>
      </c>
      <c r="BC638" s="94">
        <v>45551.243055555555</v>
      </c>
      <c r="BD638" s="94">
        <v>45551.473611111112</v>
      </c>
      <c r="BE638" s="95">
        <f t="shared" si="369"/>
        <v>0.23402777777664596</v>
      </c>
      <c r="BF638" s="95">
        <v>2.7777777777777776E-2</v>
      </c>
      <c r="BG638" s="95">
        <v>5.9722222222222225E-2</v>
      </c>
      <c r="BH638" s="95">
        <f t="shared" si="370"/>
        <v>3.4722222189884633E-3</v>
      </c>
      <c r="BI638" s="95">
        <f t="shared" si="370"/>
        <v>0</v>
      </c>
      <c r="BJ638" s="95">
        <f t="shared" si="370"/>
        <v>0.2305555555576575</v>
      </c>
      <c r="BK638" s="95">
        <f t="shared" si="371"/>
        <v>0.2305555555576575</v>
      </c>
      <c r="BL638" s="95">
        <f t="shared" si="372"/>
        <v>0.14305555555765748</v>
      </c>
      <c r="BM638" s="95">
        <f t="shared" si="373"/>
        <v>2.569444444331262E-2</v>
      </c>
      <c r="BN638" s="110"/>
    </row>
    <row r="639" spans="1:66" s="8" customFormat="1" ht="12.75" customHeight="1" x14ac:dyDescent="0.25">
      <c r="A639" s="150">
        <v>580</v>
      </c>
      <c r="B639" s="150">
        <v>38</v>
      </c>
      <c r="C639" s="90">
        <v>2</v>
      </c>
      <c r="D639" s="111" t="s">
        <v>148</v>
      </c>
      <c r="E639" s="210" t="s">
        <v>840</v>
      </c>
      <c r="F639" s="150" t="s">
        <v>19</v>
      </c>
      <c r="G639" s="150" t="s">
        <v>17</v>
      </c>
      <c r="H639" s="150" t="s">
        <v>150</v>
      </c>
      <c r="I639" s="150" t="s">
        <v>844</v>
      </c>
      <c r="J639" s="151">
        <v>45550</v>
      </c>
      <c r="K639" s="135" t="s">
        <v>122</v>
      </c>
      <c r="L639" s="135">
        <v>461000469</v>
      </c>
      <c r="M639" s="151">
        <v>45552</v>
      </c>
      <c r="N639" s="152">
        <v>45551.614583333336</v>
      </c>
      <c r="O639" s="152">
        <v>45551.614583333336</v>
      </c>
      <c r="P639" s="152">
        <v>45551.621527777781</v>
      </c>
      <c r="Q639" s="152">
        <v>45552.197916666664</v>
      </c>
      <c r="R639" s="152" t="s">
        <v>118</v>
      </c>
      <c r="S639" s="152">
        <v>45552.25</v>
      </c>
      <c r="T639" s="152">
        <v>45552.291666666664</v>
      </c>
      <c r="U639" s="152">
        <v>45552.395833333336</v>
      </c>
      <c r="V639" s="219">
        <f t="shared" si="365"/>
        <v>0.58333333332848269</v>
      </c>
      <c r="W639" s="203">
        <v>0.20833333333333334</v>
      </c>
      <c r="X639" s="219">
        <f t="shared" si="366"/>
        <v>0.37499999999514932</v>
      </c>
      <c r="Y639" s="96">
        <v>0</v>
      </c>
      <c r="Z639" s="96">
        <v>59</v>
      </c>
      <c r="AA639" s="96">
        <f t="shared" si="334"/>
        <v>59</v>
      </c>
      <c r="AB639" s="97">
        <f t="shared" si="335"/>
        <v>0</v>
      </c>
      <c r="AC639" s="97">
        <f t="shared" si="336"/>
        <v>4079.5600000000004</v>
      </c>
      <c r="AD639" s="98">
        <v>4079.56</v>
      </c>
      <c r="AE639" s="98">
        <v>4092.8</v>
      </c>
      <c r="AF639" s="98">
        <v>4120.2</v>
      </c>
      <c r="AG639" s="98">
        <f t="shared" si="337"/>
        <v>40.639999999999873</v>
      </c>
      <c r="AH639" s="99">
        <v>672.5</v>
      </c>
      <c r="AI639" s="100">
        <f t="shared" si="338"/>
        <v>2770834.5</v>
      </c>
      <c r="AJ639" s="100">
        <f t="shared" si="363"/>
        <v>0</v>
      </c>
      <c r="AK639" s="100">
        <v>0</v>
      </c>
      <c r="AL639" s="100">
        <v>24290</v>
      </c>
      <c r="AM639" s="100">
        <v>0</v>
      </c>
      <c r="AN639" s="100">
        <v>0</v>
      </c>
      <c r="AO639" s="100">
        <v>0</v>
      </c>
      <c r="AP639" s="100">
        <f t="shared" si="364"/>
        <v>139757</v>
      </c>
      <c r="AQ639" s="101">
        <f t="shared" si="353"/>
        <v>2934882</v>
      </c>
      <c r="AR639" s="101">
        <v>0</v>
      </c>
      <c r="AS639" s="101">
        <v>0</v>
      </c>
      <c r="AT639" s="102" t="s">
        <v>33</v>
      </c>
      <c r="AU639" s="109">
        <v>22</v>
      </c>
      <c r="AV639" s="100">
        <f>49.41-21.91</f>
        <v>27.499999999999996</v>
      </c>
      <c r="AW639" s="105">
        <v>2</v>
      </c>
      <c r="AX639" s="216">
        <f t="shared" si="367"/>
        <v>0.98635988544245112</v>
      </c>
      <c r="AY639" s="217">
        <f t="shared" si="368"/>
        <v>27331</v>
      </c>
      <c r="AZ639" s="107"/>
      <c r="BA639" s="94">
        <v>45551.614583333336</v>
      </c>
      <c r="BB639" s="94">
        <v>45551.621527777781</v>
      </c>
      <c r="BC639" s="94">
        <v>45551.621527777781</v>
      </c>
      <c r="BD639" s="94">
        <v>45552.247916666667</v>
      </c>
      <c r="BE639" s="95">
        <f t="shared" si="369"/>
        <v>0.63333333333139308</v>
      </c>
      <c r="BF639" s="95">
        <v>0.43611111111111112</v>
      </c>
      <c r="BG639" s="95">
        <v>1.3888888888888889E-3</v>
      </c>
      <c r="BH639" s="95">
        <f t="shared" si="370"/>
        <v>6.9444444452528842E-3</v>
      </c>
      <c r="BI639" s="95">
        <f t="shared" si="370"/>
        <v>0</v>
      </c>
      <c r="BJ639" s="95">
        <f t="shared" si="370"/>
        <v>0.62638888888614019</v>
      </c>
      <c r="BK639" s="95">
        <f t="shared" si="371"/>
        <v>0.62638888888614019</v>
      </c>
      <c r="BL639" s="95">
        <f t="shared" si="372"/>
        <v>0.18888888888614019</v>
      </c>
      <c r="BM639" s="95">
        <f t="shared" si="373"/>
        <v>0.42499999999805971</v>
      </c>
      <c r="BN639" s="110" t="s">
        <v>845</v>
      </c>
    </row>
    <row r="640" spans="1:66" s="8" customFormat="1" ht="12.75" customHeight="1" x14ac:dyDescent="0.25">
      <c r="A640" s="150">
        <v>581</v>
      </c>
      <c r="B640" s="150">
        <v>39</v>
      </c>
      <c r="C640" s="90">
        <v>3</v>
      </c>
      <c r="D640" s="111" t="s">
        <v>148</v>
      </c>
      <c r="E640" s="210" t="s">
        <v>840</v>
      </c>
      <c r="F640" s="150" t="s">
        <v>19</v>
      </c>
      <c r="G640" s="150" t="s">
        <v>17</v>
      </c>
      <c r="H640" s="150" t="s">
        <v>150</v>
      </c>
      <c r="I640" s="150" t="s">
        <v>846</v>
      </c>
      <c r="J640" s="151">
        <v>45550</v>
      </c>
      <c r="K640" s="135" t="s">
        <v>117</v>
      </c>
      <c r="L640" s="135">
        <v>461000470</v>
      </c>
      <c r="M640" s="151">
        <v>45552</v>
      </c>
      <c r="N640" s="152">
        <v>45551.8125</v>
      </c>
      <c r="O640" s="152">
        <v>45551.8125</v>
      </c>
      <c r="P640" s="152">
        <v>45551.815972222219</v>
      </c>
      <c r="Q640" s="152">
        <v>45552.395833333336</v>
      </c>
      <c r="R640" s="152" t="s">
        <v>118</v>
      </c>
      <c r="S640" s="152">
        <v>45552.465277777781</v>
      </c>
      <c r="T640" s="152">
        <v>45552.552083333336</v>
      </c>
      <c r="U640" s="152">
        <v>45552.65</v>
      </c>
      <c r="V640" s="219">
        <f t="shared" si="365"/>
        <v>0.58333333333575865</v>
      </c>
      <c r="W640" s="203">
        <v>0.20833333333333334</v>
      </c>
      <c r="X640" s="219">
        <f t="shared" si="366"/>
        <v>0.37500000000242528</v>
      </c>
      <c r="Y640" s="96">
        <v>0</v>
      </c>
      <c r="Z640" s="96">
        <v>59</v>
      </c>
      <c r="AA640" s="96">
        <f t="shared" si="334"/>
        <v>59</v>
      </c>
      <c r="AB640" s="97">
        <f t="shared" si="335"/>
        <v>0</v>
      </c>
      <c r="AC640" s="97">
        <f t="shared" si="336"/>
        <v>4046.1499999999996</v>
      </c>
      <c r="AD640" s="98">
        <v>4046.15</v>
      </c>
      <c r="AE640" s="98">
        <v>4064.5</v>
      </c>
      <c r="AF640" s="98">
        <v>4080.4</v>
      </c>
      <c r="AG640" s="98">
        <f t="shared" si="337"/>
        <v>34.25</v>
      </c>
      <c r="AH640" s="99">
        <v>672.5</v>
      </c>
      <c r="AI640" s="100">
        <f t="shared" si="338"/>
        <v>2744069</v>
      </c>
      <c r="AJ640" s="100">
        <f t="shared" si="363"/>
        <v>0</v>
      </c>
      <c r="AK640" s="100">
        <v>0</v>
      </c>
      <c r="AL640" s="100">
        <v>24290</v>
      </c>
      <c r="AM640" s="100">
        <v>0</v>
      </c>
      <c r="AN640" s="100">
        <v>0</v>
      </c>
      <c r="AO640" s="100">
        <v>0</v>
      </c>
      <c r="AP640" s="100">
        <f t="shared" si="364"/>
        <v>138418</v>
      </c>
      <c r="AQ640" s="101">
        <f t="shared" si="353"/>
        <v>2906777</v>
      </c>
      <c r="AR640" s="101">
        <v>0</v>
      </c>
      <c r="AS640" s="101">
        <v>0</v>
      </c>
      <c r="AT640" s="102" t="s">
        <v>33</v>
      </c>
      <c r="AU640" s="109">
        <v>10</v>
      </c>
      <c r="AV640" s="100">
        <f>20.84-12.84</f>
        <v>8</v>
      </c>
      <c r="AW640" s="105">
        <v>3</v>
      </c>
      <c r="AX640" s="216">
        <f t="shared" si="367"/>
        <v>0.83937849230467598</v>
      </c>
      <c r="AY640" s="217">
        <f t="shared" si="368"/>
        <v>23034</v>
      </c>
      <c r="AZ640" s="107"/>
      <c r="BA640" s="94">
        <v>45551.8125</v>
      </c>
      <c r="BB640" s="94">
        <v>45551.815972222219</v>
      </c>
      <c r="BC640" s="94">
        <v>45552.25</v>
      </c>
      <c r="BD640" s="94">
        <v>45552.461111111108</v>
      </c>
      <c r="BE640" s="95">
        <f t="shared" si="369"/>
        <v>0.64861111110803904</v>
      </c>
      <c r="BF640" s="95">
        <v>3.6111111111111094E-2</v>
      </c>
      <c r="BG640" s="95">
        <v>0.43402777778149659</v>
      </c>
      <c r="BH640" s="95">
        <f t="shared" si="370"/>
        <v>3.4722222189884633E-3</v>
      </c>
      <c r="BI640" s="95">
        <f t="shared" si="370"/>
        <v>0.43402777778101154</v>
      </c>
      <c r="BJ640" s="95">
        <f t="shared" si="370"/>
        <v>0.21111111110803904</v>
      </c>
      <c r="BK640" s="95">
        <f t="shared" si="371"/>
        <v>0.64513888888905058</v>
      </c>
      <c r="BL640" s="95">
        <f t="shared" si="372"/>
        <v>0.17499999999644289</v>
      </c>
      <c r="BM640" s="95">
        <f t="shared" si="373"/>
        <v>0.44027777777470567</v>
      </c>
      <c r="BN640" s="110"/>
    </row>
    <row r="641" spans="1:66" s="8" customFormat="1" ht="12.75" customHeight="1" x14ac:dyDescent="0.25">
      <c r="A641" s="150">
        <v>582</v>
      </c>
      <c r="B641" s="150">
        <v>40</v>
      </c>
      <c r="C641" s="90">
        <v>28</v>
      </c>
      <c r="D641" s="111" t="s">
        <v>113</v>
      </c>
      <c r="E641" s="210" t="s">
        <v>711</v>
      </c>
      <c r="F641" s="150" t="s">
        <v>32</v>
      </c>
      <c r="G641" s="150" t="s">
        <v>8</v>
      </c>
      <c r="H641" s="150" t="s">
        <v>779</v>
      </c>
      <c r="I641" s="150" t="s">
        <v>847</v>
      </c>
      <c r="J641" s="151">
        <v>45552</v>
      </c>
      <c r="K641" s="135" t="s">
        <v>122</v>
      </c>
      <c r="L641" s="135">
        <v>281000240</v>
      </c>
      <c r="M641" s="151">
        <v>45553</v>
      </c>
      <c r="N641" s="152">
        <v>45552.493055555555</v>
      </c>
      <c r="O641" s="152">
        <v>45552.493055555555</v>
      </c>
      <c r="P641" s="152">
        <v>45552.496527777781</v>
      </c>
      <c r="Q641" s="152">
        <v>45552.701388888891</v>
      </c>
      <c r="R641" s="152" t="s">
        <v>118</v>
      </c>
      <c r="S641" s="152" t="s">
        <v>118</v>
      </c>
      <c r="T641" s="152">
        <v>45552.791666666664</v>
      </c>
      <c r="U641" s="152">
        <v>45552.9375</v>
      </c>
      <c r="V641" s="219">
        <f t="shared" si="365"/>
        <v>0.20833333333575865</v>
      </c>
      <c r="W641" s="203">
        <v>0.20833333333333334</v>
      </c>
      <c r="X641" s="219">
        <f t="shared" si="366"/>
        <v>2.4253099528692701E-12</v>
      </c>
      <c r="Y641" s="96">
        <v>0</v>
      </c>
      <c r="Z641" s="96">
        <v>59</v>
      </c>
      <c r="AA641" s="96">
        <f t="shared" si="334"/>
        <v>59</v>
      </c>
      <c r="AB641" s="97">
        <f t="shared" si="335"/>
        <v>0</v>
      </c>
      <c r="AC641" s="97">
        <f t="shared" si="336"/>
        <v>4082.46</v>
      </c>
      <c r="AD641" s="98">
        <v>4082.46</v>
      </c>
      <c r="AE641" s="98">
        <v>4095.9</v>
      </c>
      <c r="AF641" s="98">
        <v>4124.2</v>
      </c>
      <c r="AG641" s="98">
        <f t="shared" si="337"/>
        <v>41.739999999999782</v>
      </c>
      <c r="AH641" s="99">
        <v>1435.6</v>
      </c>
      <c r="AI641" s="100">
        <f t="shared" si="338"/>
        <v>5920701.5199999996</v>
      </c>
      <c r="AJ641" s="100">
        <f t="shared" si="363"/>
        <v>0</v>
      </c>
      <c r="AK641" s="100">
        <v>0</v>
      </c>
      <c r="AL641" s="100">
        <v>24290</v>
      </c>
      <c r="AM641" s="100">
        <v>0</v>
      </c>
      <c r="AN641" s="100">
        <v>0</v>
      </c>
      <c r="AO641" s="100">
        <v>0</v>
      </c>
      <c r="AP641" s="100">
        <f t="shared" si="364"/>
        <v>297250</v>
      </c>
      <c r="AQ641" s="101">
        <f t="shared" si="353"/>
        <v>6242242</v>
      </c>
      <c r="AR641" s="101">
        <v>0</v>
      </c>
      <c r="AS641" s="101">
        <v>0</v>
      </c>
      <c r="AT641" s="102" t="s">
        <v>33</v>
      </c>
      <c r="AU641" s="109">
        <v>19</v>
      </c>
      <c r="AV641" s="100">
        <f>44.1-24.6</f>
        <v>19.5</v>
      </c>
      <c r="AW641" s="105">
        <v>0</v>
      </c>
      <c r="AX641" s="216">
        <f t="shared" si="367"/>
        <v>1.0120750691043059</v>
      </c>
      <c r="AY641" s="217">
        <f t="shared" si="368"/>
        <v>59922</v>
      </c>
      <c r="AZ641" s="107"/>
      <c r="BA641" s="94">
        <v>45552.479166666664</v>
      </c>
      <c r="BB641" s="94">
        <v>45552.482638888891</v>
      </c>
      <c r="BC641" s="94">
        <v>45552.482638888891</v>
      </c>
      <c r="BD641" s="94">
        <v>45552.636805555558</v>
      </c>
      <c r="BE641" s="95">
        <f t="shared" si="369"/>
        <v>0.15763888889341615</v>
      </c>
      <c r="BF641" s="95">
        <v>0</v>
      </c>
      <c r="BG641" s="95">
        <v>6.9444444444444441E-3</v>
      </c>
      <c r="BH641" s="95">
        <f t="shared" si="370"/>
        <v>3.4722222262644209E-3</v>
      </c>
      <c r="BI641" s="95">
        <f t="shared" si="370"/>
        <v>0</v>
      </c>
      <c r="BJ641" s="95">
        <f t="shared" si="370"/>
        <v>0.15416666666715173</v>
      </c>
      <c r="BK641" s="95">
        <f t="shared" si="371"/>
        <v>0.15416666666715173</v>
      </c>
      <c r="BL641" s="95">
        <f t="shared" si="372"/>
        <v>0.14722222222270728</v>
      </c>
      <c r="BM641" s="95" t="str">
        <f t="shared" si="373"/>
        <v>00:00</v>
      </c>
      <c r="BN641" s="110"/>
    </row>
    <row r="642" spans="1:66" s="8" customFormat="1" ht="12.75" customHeight="1" x14ac:dyDescent="0.25">
      <c r="A642" s="150">
        <v>583</v>
      </c>
      <c r="B642" s="150">
        <v>41</v>
      </c>
      <c r="C642" s="90">
        <v>4</v>
      </c>
      <c r="D642" s="111" t="s">
        <v>148</v>
      </c>
      <c r="E642" s="210" t="s">
        <v>840</v>
      </c>
      <c r="F642" s="150" t="s">
        <v>19</v>
      </c>
      <c r="G642" s="150" t="s">
        <v>17</v>
      </c>
      <c r="H642" s="150" t="s">
        <v>150</v>
      </c>
      <c r="I642" s="150" t="s">
        <v>848</v>
      </c>
      <c r="J642" s="151">
        <v>45551</v>
      </c>
      <c r="K642" s="135" t="s">
        <v>117</v>
      </c>
      <c r="L642" s="135">
        <v>461000471</v>
      </c>
      <c r="M642" s="151">
        <v>45553</v>
      </c>
      <c r="N642" s="152">
        <v>45552.770833333336</v>
      </c>
      <c r="O642" s="152">
        <v>45552.770833333336</v>
      </c>
      <c r="P642" s="152">
        <v>45552.774305555555</v>
      </c>
      <c r="Q642" s="152">
        <v>45552.979166666664</v>
      </c>
      <c r="R642" s="152" t="s">
        <v>118</v>
      </c>
      <c r="S642" s="152">
        <v>45553.041666666664</v>
      </c>
      <c r="T642" s="152">
        <v>45553.052083333336</v>
      </c>
      <c r="U642" s="152">
        <v>45553.229166666664</v>
      </c>
      <c r="V642" s="219">
        <f t="shared" si="365"/>
        <v>0.20833333332848269</v>
      </c>
      <c r="W642" s="203">
        <v>0.20833333333333334</v>
      </c>
      <c r="X642" s="219" t="str">
        <f t="shared" si="366"/>
        <v>00:00</v>
      </c>
      <c r="Y642" s="96">
        <v>0</v>
      </c>
      <c r="Z642" s="96">
        <v>59</v>
      </c>
      <c r="AA642" s="96">
        <f t="shared" si="334"/>
        <v>59</v>
      </c>
      <c r="AB642" s="97">
        <f t="shared" si="335"/>
        <v>0</v>
      </c>
      <c r="AC642" s="97">
        <f t="shared" si="336"/>
        <v>3976.02</v>
      </c>
      <c r="AD642" s="98">
        <v>3976.02</v>
      </c>
      <c r="AE642" s="98">
        <v>4103.8999999999996</v>
      </c>
      <c r="AF642" s="98">
        <v>4117.6000000000004</v>
      </c>
      <c r="AG642" s="98">
        <f t="shared" si="337"/>
        <v>141.58000000000038</v>
      </c>
      <c r="AH642" s="99">
        <v>672.5</v>
      </c>
      <c r="AI642" s="100">
        <f t="shared" si="338"/>
        <v>2769086.0000000005</v>
      </c>
      <c r="AJ642" s="100">
        <f t="shared" si="363"/>
        <v>0</v>
      </c>
      <c r="AK642" s="100">
        <v>0</v>
      </c>
      <c r="AL642" s="100">
        <v>24290</v>
      </c>
      <c r="AM642" s="100">
        <v>0</v>
      </c>
      <c r="AN642" s="100">
        <v>0</v>
      </c>
      <c r="AO642" s="100">
        <v>0</v>
      </c>
      <c r="AP642" s="100">
        <f t="shared" si="364"/>
        <v>139669</v>
      </c>
      <c r="AQ642" s="101">
        <f t="shared" si="353"/>
        <v>2933045</v>
      </c>
      <c r="AR642" s="101">
        <v>0</v>
      </c>
      <c r="AS642" s="101">
        <v>0</v>
      </c>
      <c r="AT642" s="102" t="s">
        <v>33</v>
      </c>
      <c r="AU642" s="109">
        <v>8</v>
      </c>
      <c r="AV642" s="100">
        <f>18.08-11.58</f>
        <v>6.4999999999999982</v>
      </c>
      <c r="AW642" s="105">
        <v>1</v>
      </c>
      <c r="AX642" s="216">
        <f t="shared" si="367"/>
        <v>3.4384107246940054</v>
      </c>
      <c r="AY642" s="217">
        <f t="shared" si="368"/>
        <v>95213</v>
      </c>
      <c r="AZ642" s="107"/>
      <c r="BA642" s="94">
        <v>45552.770833333336</v>
      </c>
      <c r="BB642" s="94">
        <v>45552.774305555555</v>
      </c>
      <c r="BC642" s="94">
        <v>45552.774305555555</v>
      </c>
      <c r="BD642" s="94">
        <v>45553.03125</v>
      </c>
      <c r="BE642" s="95">
        <f t="shared" si="369"/>
        <v>0.26041666666424135</v>
      </c>
      <c r="BF642" s="95">
        <v>3.9583333333333331E-2</v>
      </c>
      <c r="BG642" s="95">
        <v>1.5972222222222221E-2</v>
      </c>
      <c r="BH642" s="95">
        <f t="shared" si="370"/>
        <v>3.4722222189884633E-3</v>
      </c>
      <c r="BI642" s="95">
        <f t="shared" si="370"/>
        <v>0</v>
      </c>
      <c r="BJ642" s="95">
        <f t="shared" si="370"/>
        <v>0.25694444444525288</v>
      </c>
      <c r="BK642" s="95">
        <f t="shared" si="371"/>
        <v>0.25694444444525288</v>
      </c>
      <c r="BL642" s="95">
        <f t="shared" si="372"/>
        <v>0.20138888888969733</v>
      </c>
      <c r="BM642" s="95">
        <f t="shared" si="373"/>
        <v>5.2083333330908005E-2</v>
      </c>
      <c r="BN642" s="110"/>
    </row>
    <row r="643" spans="1:66" s="8" customFormat="1" ht="12.75" customHeight="1" x14ac:dyDescent="0.25">
      <c r="A643" s="150">
        <v>584</v>
      </c>
      <c r="B643" s="150">
        <v>42</v>
      </c>
      <c r="C643" s="90">
        <v>1</v>
      </c>
      <c r="D643" s="111" t="s">
        <v>113</v>
      </c>
      <c r="E643" s="210" t="s">
        <v>849</v>
      </c>
      <c r="F643" s="150" t="s">
        <v>41</v>
      </c>
      <c r="G643" s="150" t="s">
        <v>12</v>
      </c>
      <c r="H643" s="150" t="s">
        <v>115</v>
      </c>
      <c r="I643" s="150" t="s">
        <v>850</v>
      </c>
      <c r="J643" s="151">
        <v>45553</v>
      </c>
      <c r="K643" s="135" t="s">
        <v>122</v>
      </c>
      <c r="L643" s="135">
        <v>282001022</v>
      </c>
      <c r="M643" s="151">
        <v>45553</v>
      </c>
      <c r="N643" s="152">
        <v>45553.274305555555</v>
      </c>
      <c r="O643" s="152">
        <v>45553.274305555555</v>
      </c>
      <c r="P643" s="152">
        <v>45553.277777777781</v>
      </c>
      <c r="Q643" s="152">
        <v>45553.46875</v>
      </c>
      <c r="R643" s="152" t="s">
        <v>118</v>
      </c>
      <c r="S643" s="152" t="s">
        <v>118</v>
      </c>
      <c r="T643" s="152">
        <v>45553.479166666664</v>
      </c>
      <c r="U643" s="152">
        <v>45553.589583333334</v>
      </c>
      <c r="V643" s="219">
        <f t="shared" si="365"/>
        <v>0.19444444444525288</v>
      </c>
      <c r="W643" s="203">
        <v>0.20833333333333334</v>
      </c>
      <c r="X643" s="219" t="str">
        <f t="shared" si="366"/>
        <v>00:00</v>
      </c>
      <c r="Y643" s="96">
        <v>0</v>
      </c>
      <c r="Z643" s="96">
        <v>58</v>
      </c>
      <c r="AA643" s="96">
        <f t="shared" si="334"/>
        <v>58</v>
      </c>
      <c r="AB643" s="97">
        <f t="shared" si="335"/>
        <v>0</v>
      </c>
      <c r="AC643" s="97">
        <f t="shared" si="336"/>
        <v>4017.6799999999994</v>
      </c>
      <c r="AD643" s="98">
        <v>4017.68</v>
      </c>
      <c r="AE643" s="98">
        <v>4050.2</v>
      </c>
      <c r="AF643" s="98">
        <v>4058.6</v>
      </c>
      <c r="AG643" s="98">
        <f t="shared" si="337"/>
        <v>40.920000000000073</v>
      </c>
      <c r="AH643" s="99">
        <v>1586.7</v>
      </c>
      <c r="AI643" s="100">
        <f t="shared" si="338"/>
        <v>6439780.6200000001</v>
      </c>
      <c r="AJ643" s="100">
        <f>(0.2*AH643)*2</f>
        <v>634.68000000000006</v>
      </c>
      <c r="AK643" s="100">
        <v>0</v>
      </c>
      <c r="AL643" s="100">
        <v>0</v>
      </c>
      <c r="AM643" s="100">
        <v>0</v>
      </c>
      <c r="AN643" s="100">
        <v>0</v>
      </c>
      <c r="AO643" s="100">
        <f>IFERROR(AF643*20+(((AJ643/AH643)/2)*20),0)</f>
        <v>81176</v>
      </c>
      <c r="AP643" s="100">
        <f t="shared" si="364"/>
        <v>326080</v>
      </c>
      <c r="AQ643" s="101">
        <f t="shared" si="353"/>
        <v>6847672</v>
      </c>
      <c r="AR643" s="101">
        <v>0</v>
      </c>
      <c r="AS643" s="101">
        <v>0</v>
      </c>
      <c r="AT643" s="102" t="s">
        <v>34</v>
      </c>
      <c r="AU643" s="109" t="s">
        <v>118</v>
      </c>
      <c r="AV643" s="100">
        <v>0</v>
      </c>
      <c r="AW643" s="105">
        <v>0</v>
      </c>
      <c r="AX643" s="216">
        <f t="shared" si="367"/>
        <v>1.0082294387227142</v>
      </c>
      <c r="AY643" s="217">
        <f t="shared" si="368"/>
        <v>64928</v>
      </c>
      <c r="AZ643" s="107"/>
      <c r="BA643" s="94">
        <v>45553.274305555555</v>
      </c>
      <c r="BB643" s="94">
        <v>45553.277777777781</v>
      </c>
      <c r="BC643" s="94">
        <v>45553.277777777781</v>
      </c>
      <c r="BD643" s="94">
        <v>45553.430555555555</v>
      </c>
      <c r="BE643" s="95">
        <f t="shared" si="369"/>
        <v>0.15625</v>
      </c>
      <c r="BF643" s="95">
        <v>3.472222222222222E-3</v>
      </c>
      <c r="BG643" s="95">
        <v>0</v>
      </c>
      <c r="BH643" s="95">
        <f t="shared" si="370"/>
        <v>3.4722222262644209E-3</v>
      </c>
      <c r="BI643" s="95">
        <f t="shared" si="370"/>
        <v>0</v>
      </c>
      <c r="BJ643" s="95">
        <f t="shared" si="370"/>
        <v>0.15277777777373558</v>
      </c>
      <c r="BK643" s="95">
        <f t="shared" si="371"/>
        <v>0.15277777777373558</v>
      </c>
      <c r="BL643" s="95">
        <f t="shared" si="372"/>
        <v>0.14930555555151337</v>
      </c>
      <c r="BM643" s="95" t="str">
        <f t="shared" si="373"/>
        <v>00:00</v>
      </c>
      <c r="BN643" s="110"/>
    </row>
    <row r="644" spans="1:66" s="8" customFormat="1" ht="12.75" customHeight="1" x14ac:dyDescent="0.25">
      <c r="A644" s="150">
        <v>585</v>
      </c>
      <c r="B644" s="150">
        <v>43</v>
      </c>
      <c r="C644" s="90">
        <v>5</v>
      </c>
      <c r="D644" s="111" t="s">
        <v>113</v>
      </c>
      <c r="E644" s="210" t="s">
        <v>799</v>
      </c>
      <c r="F644" s="150" t="s">
        <v>32</v>
      </c>
      <c r="G644" s="150" t="s">
        <v>15</v>
      </c>
      <c r="H644" s="150" t="s">
        <v>182</v>
      </c>
      <c r="I644" s="150" t="s">
        <v>851</v>
      </c>
      <c r="J644" s="151">
        <v>45553</v>
      </c>
      <c r="K644" s="135" t="s">
        <v>117</v>
      </c>
      <c r="L644" s="135">
        <v>251000054</v>
      </c>
      <c r="M644" s="151">
        <v>45553</v>
      </c>
      <c r="N644" s="152">
        <v>45553.489583333336</v>
      </c>
      <c r="O644" s="152">
        <v>45553.489583333336</v>
      </c>
      <c r="P644" s="152">
        <v>45553.493055555555</v>
      </c>
      <c r="Q644" s="152">
        <v>45553.697916666664</v>
      </c>
      <c r="R644" s="152" t="s">
        <v>118</v>
      </c>
      <c r="S644" s="152" t="s">
        <v>118</v>
      </c>
      <c r="T644" s="152">
        <v>45553.833333333336</v>
      </c>
      <c r="U644" s="152">
        <v>45553.916666666664</v>
      </c>
      <c r="V644" s="219">
        <f t="shared" si="365"/>
        <v>0.20833333332848269</v>
      </c>
      <c r="W644" s="203">
        <v>0.20833333333333334</v>
      </c>
      <c r="X644" s="219" t="str">
        <f t="shared" si="366"/>
        <v>00:00</v>
      </c>
      <c r="Y644" s="96">
        <v>0</v>
      </c>
      <c r="Z644" s="96">
        <v>58</v>
      </c>
      <c r="AA644" s="96">
        <f t="shared" si="334"/>
        <v>58</v>
      </c>
      <c r="AB644" s="97">
        <f t="shared" si="335"/>
        <v>0</v>
      </c>
      <c r="AC644" s="97">
        <f t="shared" si="336"/>
        <v>3873.61</v>
      </c>
      <c r="AD644" s="98">
        <v>3873.61</v>
      </c>
      <c r="AE644" s="98">
        <v>4033.9</v>
      </c>
      <c r="AF644" s="98">
        <v>4034.6</v>
      </c>
      <c r="AG644" s="98">
        <f t="shared" si="337"/>
        <v>160.98999999999978</v>
      </c>
      <c r="AH644" s="99">
        <v>1484</v>
      </c>
      <c r="AI644" s="100">
        <f t="shared" si="338"/>
        <v>5987346.3999999994</v>
      </c>
      <c r="AJ644" s="100">
        <f>(0*AH644)*2</f>
        <v>0</v>
      </c>
      <c r="AK644" s="100">
        <v>0</v>
      </c>
      <c r="AL644" s="100">
        <v>0</v>
      </c>
      <c r="AM644" s="100">
        <v>0</v>
      </c>
      <c r="AN644" s="100">
        <v>0</v>
      </c>
      <c r="AO644" s="100">
        <v>0</v>
      </c>
      <c r="AP644" s="100">
        <f t="shared" si="364"/>
        <v>299368</v>
      </c>
      <c r="AQ644" s="101">
        <f t="shared" si="353"/>
        <v>6286715</v>
      </c>
      <c r="AR644" s="101">
        <v>0</v>
      </c>
      <c r="AS644" s="101">
        <v>0</v>
      </c>
      <c r="AT644" s="102" t="s">
        <v>34</v>
      </c>
      <c r="AU644" s="109" t="s">
        <v>118</v>
      </c>
      <c r="AV644" s="100">
        <v>0</v>
      </c>
      <c r="AW644" s="105">
        <v>0</v>
      </c>
      <c r="AX644" s="216">
        <f t="shared" si="367"/>
        <v>3.9902344718187628</v>
      </c>
      <c r="AY644" s="217">
        <f t="shared" si="368"/>
        <v>238910</v>
      </c>
      <c r="AZ644" s="107"/>
      <c r="BA644" s="94">
        <v>45553.489583333336</v>
      </c>
      <c r="BB644" s="94">
        <v>45553.493055555555</v>
      </c>
      <c r="BC644" s="94">
        <v>45553.493055555555</v>
      </c>
      <c r="BD644" s="94">
        <v>45553.713194444441</v>
      </c>
      <c r="BE644" s="95">
        <f t="shared" si="369"/>
        <v>0.22361111110512866</v>
      </c>
      <c r="BF644" s="95">
        <v>1.5277777777777777E-2</v>
      </c>
      <c r="BG644" s="95">
        <v>8.1944444444444445E-2</v>
      </c>
      <c r="BH644" s="95">
        <f t="shared" si="370"/>
        <v>3.4722222189884633E-3</v>
      </c>
      <c r="BI644" s="95">
        <f t="shared" si="370"/>
        <v>0</v>
      </c>
      <c r="BJ644" s="95">
        <f t="shared" si="370"/>
        <v>0.22013888888614019</v>
      </c>
      <c r="BK644" s="95">
        <f t="shared" si="371"/>
        <v>0.22013888888614019</v>
      </c>
      <c r="BL644" s="95">
        <f t="shared" si="372"/>
        <v>0.12291666666391797</v>
      </c>
      <c r="BM644" s="95">
        <f t="shared" si="373"/>
        <v>1.5277777771795314E-2</v>
      </c>
      <c r="BN644" s="110"/>
    </row>
    <row r="645" spans="1:66" s="8" customFormat="1" ht="12.75" customHeight="1" x14ac:dyDescent="0.25">
      <c r="A645" s="150">
        <v>586</v>
      </c>
      <c r="B645" s="150">
        <v>44</v>
      </c>
      <c r="C645" s="90">
        <v>29</v>
      </c>
      <c r="D645" s="111" t="s">
        <v>113</v>
      </c>
      <c r="E645" s="210" t="s">
        <v>711</v>
      </c>
      <c r="F645" s="150" t="s">
        <v>32</v>
      </c>
      <c r="G645" s="150" t="s">
        <v>8</v>
      </c>
      <c r="H645" s="150" t="s">
        <v>805</v>
      </c>
      <c r="I645" s="150" t="s">
        <v>852</v>
      </c>
      <c r="J645" s="151">
        <v>45553</v>
      </c>
      <c r="K645" s="135" t="s">
        <v>122</v>
      </c>
      <c r="L645" s="135">
        <v>261005985</v>
      </c>
      <c r="M645" s="151">
        <v>45554</v>
      </c>
      <c r="N645" s="152">
        <v>45553.6875</v>
      </c>
      <c r="O645" s="152">
        <v>45553.6875</v>
      </c>
      <c r="P645" s="152">
        <v>45553.690972222219</v>
      </c>
      <c r="Q645" s="152">
        <v>45553.895833333336</v>
      </c>
      <c r="R645" s="152" t="s">
        <v>118</v>
      </c>
      <c r="S645" s="152">
        <v>45553.958333333336</v>
      </c>
      <c r="T645" s="152">
        <v>45553.979166666664</v>
      </c>
      <c r="U645" s="152">
        <v>45554.069444444445</v>
      </c>
      <c r="V645" s="219">
        <f t="shared" si="365"/>
        <v>0.20833333333575865</v>
      </c>
      <c r="W645" s="203">
        <v>0.20833333333333334</v>
      </c>
      <c r="X645" s="219">
        <f t="shared" si="366"/>
        <v>2.4253099528692701E-12</v>
      </c>
      <c r="Y645" s="96">
        <v>0</v>
      </c>
      <c r="Z645" s="96">
        <v>59</v>
      </c>
      <c r="AA645" s="96">
        <f t="shared" si="334"/>
        <v>59</v>
      </c>
      <c r="AB645" s="97">
        <f t="shared" si="335"/>
        <v>0</v>
      </c>
      <c r="AC645" s="97">
        <f t="shared" si="336"/>
        <v>3990.47</v>
      </c>
      <c r="AD645" s="98">
        <v>3990.47</v>
      </c>
      <c r="AE645" s="98">
        <v>4118.1000000000004</v>
      </c>
      <c r="AF645" s="98">
        <v>4118.2</v>
      </c>
      <c r="AG645" s="98">
        <f t="shared" si="337"/>
        <v>127.73000000000002</v>
      </c>
      <c r="AH645" s="99">
        <v>1435.6</v>
      </c>
      <c r="AI645" s="100">
        <f t="shared" si="338"/>
        <v>5912087.919999999</v>
      </c>
      <c r="AJ645" s="100">
        <f>(0*AH645)*2</f>
        <v>0</v>
      </c>
      <c r="AK645" s="100">
        <v>0</v>
      </c>
      <c r="AL645" s="100">
        <v>0</v>
      </c>
      <c r="AM645" s="100">
        <v>0</v>
      </c>
      <c r="AN645" s="100">
        <v>0</v>
      </c>
      <c r="AO645" s="100">
        <v>0</v>
      </c>
      <c r="AP645" s="100">
        <f t="shared" si="364"/>
        <v>295605</v>
      </c>
      <c r="AQ645" s="101">
        <f t="shared" si="353"/>
        <v>6207693</v>
      </c>
      <c r="AR645" s="101">
        <v>0</v>
      </c>
      <c r="AS645" s="101">
        <v>0</v>
      </c>
      <c r="AT645" s="102" t="s">
        <v>34</v>
      </c>
      <c r="AU645" s="109" t="s">
        <v>118</v>
      </c>
      <c r="AV645" s="100">
        <v>0</v>
      </c>
      <c r="AW645" s="105">
        <v>2</v>
      </c>
      <c r="AX645" s="216">
        <f t="shared" si="367"/>
        <v>3.1015977854402412</v>
      </c>
      <c r="AY645" s="217">
        <f t="shared" si="368"/>
        <v>183370</v>
      </c>
      <c r="AZ645" s="107"/>
      <c r="BA645" s="94">
        <v>45553.6875</v>
      </c>
      <c r="BB645" s="94">
        <v>45553.690972222219</v>
      </c>
      <c r="BC645" s="94">
        <v>45553.763888888891</v>
      </c>
      <c r="BD645" s="94">
        <v>45553.951388888891</v>
      </c>
      <c r="BE645" s="95">
        <f t="shared" si="369"/>
        <v>0.26388888889050577</v>
      </c>
      <c r="BF645" s="95">
        <v>6.6666666666666666E-2</v>
      </c>
      <c r="BG645" s="95">
        <v>3.6805555555555557E-2</v>
      </c>
      <c r="BH645" s="95">
        <f t="shared" si="370"/>
        <v>3.4722222189884633E-3</v>
      </c>
      <c r="BI645" s="95">
        <f t="shared" si="370"/>
        <v>7.2916666671517305E-2</v>
      </c>
      <c r="BJ645" s="95">
        <f t="shared" si="370"/>
        <v>0.1875</v>
      </c>
      <c r="BK645" s="95">
        <f t="shared" si="371"/>
        <v>0.26041666667151731</v>
      </c>
      <c r="BL645" s="95">
        <f t="shared" si="372"/>
        <v>0.15694444444929509</v>
      </c>
      <c r="BM645" s="95">
        <f t="shared" si="373"/>
        <v>5.5555555557172426E-2</v>
      </c>
      <c r="BN645" s="110"/>
    </row>
    <row r="646" spans="1:66" s="8" customFormat="1" ht="12.75" customHeight="1" x14ac:dyDescent="0.25">
      <c r="A646" s="115">
        <v>587</v>
      </c>
      <c r="B646" s="115">
        <v>45</v>
      </c>
      <c r="C646" s="90">
        <v>20</v>
      </c>
      <c r="D646" s="115" t="s">
        <v>113</v>
      </c>
      <c r="E646" s="210" t="s">
        <v>681</v>
      </c>
      <c r="F646" s="115" t="s">
        <v>27</v>
      </c>
      <c r="G646" s="115" t="s">
        <v>12</v>
      </c>
      <c r="H646" s="115" t="s">
        <v>115</v>
      </c>
      <c r="I646" s="115" t="s">
        <v>853</v>
      </c>
      <c r="J646" s="117">
        <v>45553</v>
      </c>
      <c r="K646" s="116" t="s">
        <v>117</v>
      </c>
      <c r="L646" s="116">
        <v>282001023</v>
      </c>
      <c r="M646" s="236">
        <v>45554</v>
      </c>
      <c r="N646" s="118">
        <v>45553.947916666664</v>
      </c>
      <c r="O646" s="118">
        <v>45553.947916666664</v>
      </c>
      <c r="P646" s="118">
        <v>45553.951388888891</v>
      </c>
      <c r="Q646" s="118">
        <v>45554.15625</v>
      </c>
      <c r="R646" s="118" t="s">
        <v>118</v>
      </c>
      <c r="S646" s="118">
        <v>45554.239583333336</v>
      </c>
      <c r="T646" s="118">
        <v>45554.333333333336</v>
      </c>
      <c r="U646" s="118">
        <v>45554.388888888891</v>
      </c>
      <c r="V646" s="119">
        <f t="shared" si="365"/>
        <v>0.20833333333575865</v>
      </c>
      <c r="W646" s="185">
        <v>0.20833333333333334</v>
      </c>
      <c r="X646" s="119">
        <f t="shared" si="366"/>
        <v>2.4253099528692701E-12</v>
      </c>
      <c r="Y646" s="96">
        <v>0</v>
      </c>
      <c r="Z646" s="96">
        <v>18</v>
      </c>
      <c r="AA646" s="96">
        <f t="shared" si="334"/>
        <v>18</v>
      </c>
      <c r="AB646" s="97">
        <f t="shared" si="335"/>
        <v>0</v>
      </c>
      <c r="AC646" s="97">
        <f t="shared" si="336"/>
        <v>1195.54</v>
      </c>
      <c r="AD646" s="98">
        <f>3947.62-2752.08</f>
        <v>1195.54</v>
      </c>
      <c r="AE646" s="98">
        <f>4039.1-2785.5</f>
        <v>1253.5999999999999</v>
      </c>
      <c r="AF646" s="98">
        <f>4044.4-2790.8</f>
        <v>1253.5999999999999</v>
      </c>
      <c r="AG646" s="98">
        <f t="shared" si="337"/>
        <v>58.059999999999945</v>
      </c>
      <c r="AH646" s="99">
        <v>1586.7</v>
      </c>
      <c r="AI646" s="100">
        <f t="shared" si="338"/>
        <v>1989087.1199999999</v>
      </c>
      <c r="AJ646" s="100">
        <f>(0.4*AH646)*2</f>
        <v>1269.3600000000001</v>
      </c>
      <c r="AK646" s="100">
        <v>0</v>
      </c>
      <c r="AL646" s="100">
        <v>0</v>
      </c>
      <c r="AM646" s="100">
        <v>0</v>
      </c>
      <c r="AN646" s="100">
        <v>0</v>
      </c>
      <c r="AO646" s="100">
        <f>IFERROR(AF646*20+(((AJ646/AH646)/2)*20),0)</f>
        <v>25080</v>
      </c>
      <c r="AP646" s="100">
        <f t="shared" si="364"/>
        <v>100772</v>
      </c>
      <c r="AQ646" s="101">
        <f>ROUNDUP(SUM(AI646:AP646),0)-1</f>
        <v>2116208</v>
      </c>
      <c r="AR646" s="101">
        <v>0</v>
      </c>
      <c r="AS646" s="101">
        <v>0</v>
      </c>
      <c r="AT646" s="137" t="s">
        <v>34</v>
      </c>
      <c r="AU646" s="120" t="s">
        <v>118</v>
      </c>
      <c r="AV646" s="121">
        <v>0</v>
      </c>
      <c r="AW646" s="139">
        <v>2</v>
      </c>
      <c r="AX646" s="140">
        <f>IFERROR(((AG646+AG647)/(AF646+AF647))*100, "")</f>
        <v>2.3929383839382901</v>
      </c>
      <c r="AY646" s="141">
        <f>ROUNDUP((AG646+AG647)*AH646,0)</f>
        <v>153561</v>
      </c>
      <c r="AZ646" s="107"/>
      <c r="BA646" s="118">
        <v>45553.947916666664</v>
      </c>
      <c r="BB646" s="118">
        <v>45553.951388888891</v>
      </c>
      <c r="BC646" s="118">
        <v>45554.03125</v>
      </c>
      <c r="BD646" s="118">
        <v>45554.25</v>
      </c>
      <c r="BE646" s="119">
        <f t="shared" si="369"/>
        <v>0.30208333333575865</v>
      </c>
      <c r="BF646" s="119">
        <v>5.347222222222222E-2</v>
      </c>
      <c r="BG646" s="119">
        <v>8.2638888888888887E-2</v>
      </c>
      <c r="BH646" s="119">
        <f t="shared" si="370"/>
        <v>3.4722222262644209E-3</v>
      </c>
      <c r="BI646" s="119">
        <f t="shared" si="370"/>
        <v>7.9861111109494232E-2</v>
      </c>
      <c r="BJ646" s="119">
        <f t="shared" si="370"/>
        <v>0.21875</v>
      </c>
      <c r="BK646" s="119">
        <f t="shared" si="371"/>
        <v>0.29861111110949423</v>
      </c>
      <c r="BL646" s="119">
        <f t="shared" si="372"/>
        <v>0.1624999999983831</v>
      </c>
      <c r="BM646" s="119">
        <f t="shared" si="373"/>
        <v>9.375000000242531E-2</v>
      </c>
      <c r="BN646" s="110" t="s">
        <v>854</v>
      </c>
    </row>
    <row r="647" spans="1:66" s="8" customFormat="1" ht="12.75" customHeight="1" x14ac:dyDescent="0.25">
      <c r="A647" s="122"/>
      <c r="B647" s="122"/>
      <c r="C647" s="90">
        <v>4</v>
      </c>
      <c r="D647" s="122"/>
      <c r="E647" s="210" t="s">
        <v>771</v>
      </c>
      <c r="F647" s="122"/>
      <c r="G647" s="122"/>
      <c r="H647" s="122"/>
      <c r="I647" s="122"/>
      <c r="J647" s="124"/>
      <c r="K647" s="123"/>
      <c r="L647" s="123"/>
      <c r="M647" s="123"/>
      <c r="N647" s="125"/>
      <c r="O647" s="125"/>
      <c r="P647" s="125"/>
      <c r="Q647" s="125"/>
      <c r="R647" s="125"/>
      <c r="S647" s="125"/>
      <c r="T647" s="125"/>
      <c r="U647" s="125"/>
      <c r="V647" s="126"/>
      <c r="W647" s="189"/>
      <c r="X647" s="126"/>
      <c r="Y647" s="96">
        <v>0</v>
      </c>
      <c r="Z647" s="96">
        <v>40</v>
      </c>
      <c r="AA647" s="96">
        <f t="shared" si="334"/>
        <v>40</v>
      </c>
      <c r="AB647" s="97">
        <f t="shared" si="335"/>
        <v>0</v>
      </c>
      <c r="AC647" s="97">
        <f t="shared" si="336"/>
        <v>2752.08</v>
      </c>
      <c r="AD647" s="98">
        <v>2752.08</v>
      </c>
      <c r="AE647" s="98">
        <v>2785.5</v>
      </c>
      <c r="AF647" s="98">
        <v>2790.8</v>
      </c>
      <c r="AG647" s="98">
        <f t="shared" si="337"/>
        <v>38.720000000000255</v>
      </c>
      <c r="AH647" s="99">
        <v>1586.7</v>
      </c>
      <c r="AI647" s="100">
        <f t="shared" si="338"/>
        <v>4428162.3600000003</v>
      </c>
      <c r="AJ647" s="100">
        <f>(0*AH647)*2</f>
        <v>0</v>
      </c>
      <c r="AK647" s="100">
        <v>0</v>
      </c>
      <c r="AL647" s="100">
        <v>0</v>
      </c>
      <c r="AM647" s="100">
        <v>0</v>
      </c>
      <c r="AN647" s="100">
        <v>0</v>
      </c>
      <c r="AO647" s="100">
        <f>IFERROR(AF647*20+(((AJ647/AH647)/2)*20),0)</f>
        <v>55816</v>
      </c>
      <c r="AP647" s="100">
        <f t="shared" si="364"/>
        <v>224199</v>
      </c>
      <c r="AQ647" s="101">
        <f t="shared" ref="AQ647:AQ691" si="374">ROUNDUP(SUM(AI647:AP647),0)</f>
        <v>4708178</v>
      </c>
      <c r="AR647" s="101">
        <v>0</v>
      </c>
      <c r="AS647" s="101">
        <v>0</v>
      </c>
      <c r="AT647" s="138"/>
      <c r="AU647" s="127"/>
      <c r="AV647" s="128"/>
      <c r="AW647" s="143"/>
      <c r="AX647" s="144"/>
      <c r="AY647" s="145"/>
      <c r="AZ647" s="107"/>
      <c r="BA647" s="125"/>
      <c r="BB647" s="125"/>
      <c r="BC647" s="125"/>
      <c r="BD647" s="125"/>
      <c r="BE647" s="126"/>
      <c r="BF647" s="126"/>
      <c r="BG647" s="126"/>
      <c r="BH647" s="126"/>
      <c r="BI647" s="126"/>
      <c r="BJ647" s="126"/>
      <c r="BK647" s="126"/>
      <c r="BL647" s="126"/>
      <c r="BM647" s="126"/>
      <c r="BN647" s="110" t="s">
        <v>855</v>
      </c>
    </row>
    <row r="648" spans="1:66" s="8" customFormat="1" ht="12.75" customHeight="1" x14ac:dyDescent="0.25">
      <c r="A648" s="150">
        <v>588</v>
      </c>
      <c r="B648" s="150">
        <v>46</v>
      </c>
      <c r="C648" s="90">
        <v>5</v>
      </c>
      <c r="D648" s="111" t="s">
        <v>148</v>
      </c>
      <c r="E648" s="210" t="s">
        <v>840</v>
      </c>
      <c r="F648" s="150" t="s">
        <v>19</v>
      </c>
      <c r="G648" s="150" t="s">
        <v>17</v>
      </c>
      <c r="H648" s="150" t="s">
        <v>150</v>
      </c>
      <c r="I648" s="150" t="s">
        <v>856</v>
      </c>
      <c r="J648" s="151">
        <v>45552</v>
      </c>
      <c r="K648" s="135" t="s">
        <v>122</v>
      </c>
      <c r="L648" s="135">
        <v>461000472</v>
      </c>
      <c r="M648" s="151">
        <v>45554</v>
      </c>
      <c r="N648" s="152">
        <v>45554.333333333336</v>
      </c>
      <c r="O648" s="152">
        <v>45554.333333333336</v>
      </c>
      <c r="P648" s="152">
        <v>45554.340277777781</v>
      </c>
      <c r="Q648" s="152">
        <v>45554.541666666664</v>
      </c>
      <c r="R648" s="152" t="s">
        <v>118</v>
      </c>
      <c r="S648" s="152" t="s">
        <v>118</v>
      </c>
      <c r="T648" s="152">
        <v>45554.666666666664</v>
      </c>
      <c r="U648" s="152">
        <v>45554.760416666664</v>
      </c>
      <c r="V648" s="219">
        <f t="shared" ref="V648:V659" si="375">+Q648-O648</f>
        <v>0.20833333332848269</v>
      </c>
      <c r="W648" s="203">
        <v>0.20833333333333334</v>
      </c>
      <c r="X648" s="219" t="str">
        <f t="shared" ref="X648:X659" si="376">IF(VALUE(V648)&lt;=VALUE("05:00"),"00:00",VALUE(V648)-VALUE("05:00"))</f>
        <v>00:00</v>
      </c>
      <c r="Y648" s="96">
        <v>9</v>
      </c>
      <c r="Z648" s="96">
        <v>50</v>
      </c>
      <c r="AA648" s="96">
        <f t="shared" si="334"/>
        <v>59</v>
      </c>
      <c r="AB648" s="97">
        <f t="shared" si="335"/>
        <v>634.96067796610168</v>
      </c>
      <c r="AC648" s="97">
        <f t="shared" si="336"/>
        <v>3527.5593220338983</v>
      </c>
      <c r="AD648" s="98">
        <v>4162.5200000000004</v>
      </c>
      <c r="AE648" s="98">
        <v>4128.1000000000004</v>
      </c>
      <c r="AF648" s="98">
        <v>4176.6000000000004</v>
      </c>
      <c r="AG648" s="98">
        <f t="shared" si="337"/>
        <v>14.079999999999927</v>
      </c>
      <c r="AH648" s="99">
        <v>672.5</v>
      </c>
      <c r="AI648" s="100">
        <f t="shared" si="338"/>
        <v>2808763.5000000005</v>
      </c>
      <c r="AJ648" s="100">
        <f>(0*AH648)*2</f>
        <v>0</v>
      </c>
      <c r="AK648" s="100">
        <v>0</v>
      </c>
      <c r="AL648" s="100">
        <v>24290</v>
      </c>
      <c r="AM648" s="100">
        <v>0</v>
      </c>
      <c r="AN648" s="100">
        <v>0</v>
      </c>
      <c r="AO648" s="100">
        <v>0</v>
      </c>
      <c r="AP648" s="100">
        <f t="shared" si="364"/>
        <v>141653</v>
      </c>
      <c r="AQ648" s="101">
        <f t="shared" si="374"/>
        <v>2974707</v>
      </c>
      <c r="AR648" s="101">
        <v>0</v>
      </c>
      <c r="AS648" s="101">
        <v>0</v>
      </c>
      <c r="AT648" s="102" t="s">
        <v>34</v>
      </c>
      <c r="AU648" s="109">
        <v>44</v>
      </c>
      <c r="AV648" s="100">
        <f>126.6-39.6</f>
        <v>87</v>
      </c>
      <c r="AW648" s="105">
        <v>0</v>
      </c>
      <c r="AX648" s="216">
        <f t="shared" ref="AX648:AX658" si="377">IFERROR((AG648/AF648)*100, "")</f>
        <v>0.33711631470573977</v>
      </c>
      <c r="AY648" s="217">
        <f t="shared" ref="AY648:AY658" si="378">ROUNDUP(AG648*AH648,0)</f>
        <v>9469</v>
      </c>
      <c r="AZ648" s="107"/>
      <c r="BA648" s="94">
        <v>45554.333333333336</v>
      </c>
      <c r="BB648" s="94">
        <v>45554.340277777781</v>
      </c>
      <c r="BC648" s="94">
        <v>45554.377083333333</v>
      </c>
      <c r="BD648" s="94">
        <v>45554.513194444444</v>
      </c>
      <c r="BE648" s="95">
        <f t="shared" ref="BE648:BE659" si="379">+BD648-BA648</f>
        <v>0.17986111110803904</v>
      </c>
      <c r="BF648" s="95">
        <v>0</v>
      </c>
      <c r="BG648" s="95">
        <v>3.6805555555555557E-2</v>
      </c>
      <c r="BH648" s="95">
        <f t="shared" ref="BH648:BJ659" si="380">+BB648-BA648</f>
        <v>6.9444444452528842E-3</v>
      </c>
      <c r="BI648" s="95">
        <f t="shared" si="380"/>
        <v>3.6805555551836733E-2</v>
      </c>
      <c r="BJ648" s="95">
        <f t="shared" si="380"/>
        <v>0.13611111111094942</v>
      </c>
      <c r="BK648" s="95">
        <f t="shared" ref="BK648:BK659" si="381">+BI648+BJ648</f>
        <v>0.17291666666278616</v>
      </c>
      <c r="BL648" s="95">
        <f t="shared" ref="BL648:BL659" si="382">+BE648-BH648-BF648-BG648</f>
        <v>0.13611111110723059</v>
      </c>
      <c r="BM648" s="95" t="str">
        <f t="shared" ref="BM648:BM659" si="383">IF(VALUE(BE648)&lt;=VALUE("05:00"),"00:00",VALUE(BE648)-VALUE("05:00"))</f>
        <v>00:00</v>
      </c>
      <c r="BN648" s="110"/>
    </row>
    <row r="649" spans="1:66" s="8" customFormat="1" ht="12.75" customHeight="1" x14ac:dyDescent="0.25">
      <c r="A649" s="150">
        <v>589</v>
      </c>
      <c r="B649" s="150">
        <v>47</v>
      </c>
      <c r="C649" s="90">
        <v>6</v>
      </c>
      <c r="D649" s="111" t="s">
        <v>148</v>
      </c>
      <c r="E649" s="210" t="s">
        <v>840</v>
      </c>
      <c r="F649" s="150" t="s">
        <v>19</v>
      </c>
      <c r="G649" s="150" t="s">
        <v>17</v>
      </c>
      <c r="H649" s="150" t="s">
        <v>150</v>
      </c>
      <c r="I649" s="150" t="s">
        <v>857</v>
      </c>
      <c r="J649" s="151">
        <v>45552</v>
      </c>
      <c r="K649" s="135" t="s">
        <v>117</v>
      </c>
      <c r="L649" s="135">
        <v>461000473</v>
      </c>
      <c r="M649" s="151">
        <v>45555</v>
      </c>
      <c r="N649" s="152">
        <v>45554.635416666664</v>
      </c>
      <c r="O649" s="152">
        <v>45554.635416666664</v>
      </c>
      <c r="P649" s="152">
        <v>45554.638888888891</v>
      </c>
      <c r="Q649" s="152">
        <v>45554.833333333336</v>
      </c>
      <c r="R649" s="152" t="s">
        <v>118</v>
      </c>
      <c r="S649" s="152" t="s">
        <v>118</v>
      </c>
      <c r="T649" s="152">
        <v>45554.895833333336</v>
      </c>
      <c r="U649" s="152">
        <v>45555.083333333336</v>
      </c>
      <c r="V649" s="219">
        <f t="shared" si="375"/>
        <v>0.19791666667151731</v>
      </c>
      <c r="W649" s="203">
        <v>0.20833333333333334</v>
      </c>
      <c r="X649" s="219" t="str">
        <f t="shared" si="376"/>
        <v>00:00</v>
      </c>
      <c r="Y649" s="96">
        <v>9</v>
      </c>
      <c r="Z649" s="96">
        <v>49</v>
      </c>
      <c r="AA649" s="96">
        <f t="shared" si="334"/>
        <v>58</v>
      </c>
      <c r="AB649" s="97">
        <f t="shared" si="335"/>
        <v>623.1910344827586</v>
      </c>
      <c r="AC649" s="97">
        <f t="shared" si="336"/>
        <v>3392.9289655172411</v>
      </c>
      <c r="AD649" s="98">
        <v>4016.12</v>
      </c>
      <c r="AE649" s="98">
        <v>4042.2</v>
      </c>
      <c r="AF649" s="98">
        <v>4059.4</v>
      </c>
      <c r="AG649" s="98">
        <f t="shared" si="337"/>
        <v>43.2800000000002</v>
      </c>
      <c r="AH649" s="99">
        <v>672.5</v>
      </c>
      <c r="AI649" s="100">
        <f t="shared" si="338"/>
        <v>2729946.5</v>
      </c>
      <c r="AJ649" s="100">
        <f>(0*AH649)*2</f>
        <v>0</v>
      </c>
      <c r="AK649" s="100">
        <v>0</v>
      </c>
      <c r="AL649" s="100">
        <v>24140</v>
      </c>
      <c r="AM649" s="100">
        <v>0</v>
      </c>
      <c r="AN649" s="100">
        <v>0</v>
      </c>
      <c r="AO649" s="100">
        <v>0</v>
      </c>
      <c r="AP649" s="100">
        <f t="shared" si="364"/>
        <v>137705</v>
      </c>
      <c r="AQ649" s="101">
        <f t="shared" si="374"/>
        <v>2891792</v>
      </c>
      <c r="AR649" s="101">
        <v>0</v>
      </c>
      <c r="AS649" s="101">
        <v>0</v>
      </c>
      <c r="AT649" s="102" t="s">
        <v>34</v>
      </c>
      <c r="AU649" s="109">
        <v>10</v>
      </c>
      <c r="AV649" s="100">
        <f>20.87-14.87</f>
        <v>6.0000000000000018</v>
      </c>
      <c r="AW649" s="105">
        <v>0</v>
      </c>
      <c r="AX649" s="216">
        <f t="shared" si="377"/>
        <v>1.0661674139035375</v>
      </c>
      <c r="AY649" s="217">
        <f t="shared" si="378"/>
        <v>29106</v>
      </c>
      <c r="AZ649" s="107"/>
      <c r="BA649" s="94">
        <v>45554.635416666664</v>
      </c>
      <c r="BB649" s="94">
        <v>45554.638888888891</v>
      </c>
      <c r="BC649" s="94">
        <v>45554.680555555555</v>
      </c>
      <c r="BD649" s="94">
        <v>45554.819444444445</v>
      </c>
      <c r="BE649" s="95">
        <f t="shared" si="379"/>
        <v>0.18402777778101154</v>
      </c>
      <c r="BF649" s="95">
        <v>5.486111111111111E-2</v>
      </c>
      <c r="BG649" s="95">
        <v>0</v>
      </c>
      <c r="BH649" s="95">
        <f t="shared" si="380"/>
        <v>3.4722222262644209E-3</v>
      </c>
      <c r="BI649" s="95">
        <f t="shared" si="380"/>
        <v>4.1666666664241347E-2</v>
      </c>
      <c r="BJ649" s="95">
        <f t="shared" si="380"/>
        <v>0.13888888889050577</v>
      </c>
      <c r="BK649" s="95">
        <f t="shared" si="381"/>
        <v>0.18055555555474712</v>
      </c>
      <c r="BL649" s="95">
        <f t="shared" si="382"/>
        <v>0.12569444444363601</v>
      </c>
      <c r="BM649" s="95" t="str">
        <f t="shared" si="383"/>
        <v>00:00</v>
      </c>
      <c r="BN649" s="110"/>
    </row>
    <row r="650" spans="1:66" s="8" customFormat="1" ht="12.75" customHeight="1" x14ac:dyDescent="0.25">
      <c r="A650" s="150">
        <v>590</v>
      </c>
      <c r="B650" s="150">
        <v>48</v>
      </c>
      <c r="C650" s="90">
        <v>12</v>
      </c>
      <c r="D650" s="111" t="s">
        <v>113</v>
      </c>
      <c r="E650" s="210" t="s">
        <v>759</v>
      </c>
      <c r="F650" s="150" t="s">
        <v>29</v>
      </c>
      <c r="G650" s="150" t="s">
        <v>8</v>
      </c>
      <c r="H650" s="150" t="s">
        <v>124</v>
      </c>
      <c r="I650" s="150" t="s">
        <v>858</v>
      </c>
      <c r="J650" s="151">
        <v>45554</v>
      </c>
      <c r="K650" s="135" t="s">
        <v>122</v>
      </c>
      <c r="L650" s="135">
        <v>461000474</v>
      </c>
      <c r="M650" s="151">
        <v>45555</v>
      </c>
      <c r="N650" s="152">
        <v>45554.822916666664</v>
      </c>
      <c r="O650" s="152">
        <v>45554.822916666664</v>
      </c>
      <c r="P650" s="152">
        <v>45554.826388888891</v>
      </c>
      <c r="Q650" s="152">
        <v>45554.989583333336</v>
      </c>
      <c r="R650" s="152" t="s">
        <v>118</v>
      </c>
      <c r="S650" s="152" t="s">
        <v>118</v>
      </c>
      <c r="T650" s="152">
        <v>45555.006944444445</v>
      </c>
      <c r="U650" s="152">
        <v>45555.143055555556</v>
      </c>
      <c r="V650" s="219">
        <f t="shared" si="375"/>
        <v>0.16666666667151731</v>
      </c>
      <c r="W650" s="203">
        <v>0.20833333333333334</v>
      </c>
      <c r="X650" s="219" t="str">
        <f t="shared" si="376"/>
        <v>00:00</v>
      </c>
      <c r="Y650" s="96">
        <v>0</v>
      </c>
      <c r="Z650" s="96">
        <v>57</v>
      </c>
      <c r="AA650" s="96">
        <f t="shared" si="334"/>
        <v>57</v>
      </c>
      <c r="AB650" s="97">
        <f t="shared" si="335"/>
        <v>0</v>
      </c>
      <c r="AC650" s="97">
        <f t="shared" si="336"/>
        <v>3906.43</v>
      </c>
      <c r="AD650" s="98">
        <v>3906.43</v>
      </c>
      <c r="AE650" s="98">
        <v>3969</v>
      </c>
      <c r="AF650" s="98">
        <v>3971.8</v>
      </c>
      <c r="AG650" s="98">
        <f t="shared" si="337"/>
        <v>65.370000000000346</v>
      </c>
      <c r="AH650" s="99">
        <v>797.2</v>
      </c>
      <c r="AI650" s="100">
        <f t="shared" si="338"/>
        <v>3166318.9600000004</v>
      </c>
      <c r="AJ650" s="100">
        <f>(0.2*AH650)*2</f>
        <v>318.88000000000005</v>
      </c>
      <c r="AK650" s="100">
        <v>0</v>
      </c>
      <c r="AL650" s="100">
        <v>0</v>
      </c>
      <c r="AM650" s="100">
        <v>0</v>
      </c>
      <c r="AN650" s="100">
        <v>0</v>
      </c>
      <c r="AO650" s="100">
        <v>0</v>
      </c>
      <c r="AP650" s="100">
        <f t="shared" si="364"/>
        <v>158332</v>
      </c>
      <c r="AQ650" s="101">
        <f t="shared" si="374"/>
        <v>3324970</v>
      </c>
      <c r="AR650" s="101">
        <v>0</v>
      </c>
      <c r="AS650" s="101">
        <v>0</v>
      </c>
      <c r="AT650" s="102" t="s">
        <v>34</v>
      </c>
      <c r="AU650" s="109" t="s">
        <v>118</v>
      </c>
      <c r="AV650" s="100">
        <v>0</v>
      </c>
      <c r="AW650" s="105">
        <v>0</v>
      </c>
      <c r="AX650" s="216">
        <f t="shared" si="377"/>
        <v>1.6458532655219384</v>
      </c>
      <c r="AY650" s="217">
        <f t="shared" si="378"/>
        <v>52113</v>
      </c>
      <c r="AZ650" s="107"/>
      <c r="BA650" s="94">
        <v>45554.822916666664</v>
      </c>
      <c r="BB650" s="94">
        <v>45554.826388888891</v>
      </c>
      <c r="BC650" s="94">
        <v>45554.854166666664</v>
      </c>
      <c r="BD650" s="94">
        <v>45554.99722222222</v>
      </c>
      <c r="BE650" s="95">
        <f t="shared" si="379"/>
        <v>0.17430555555620231</v>
      </c>
      <c r="BF650" s="95">
        <v>2.0833333333333332E-2</v>
      </c>
      <c r="BG650" s="95">
        <v>6.9444444444444441E-3</v>
      </c>
      <c r="BH650" s="95">
        <f t="shared" si="380"/>
        <v>3.4722222262644209E-3</v>
      </c>
      <c r="BI650" s="95">
        <f t="shared" si="380"/>
        <v>2.7777777773735579E-2</v>
      </c>
      <c r="BJ650" s="95">
        <f t="shared" si="380"/>
        <v>0.14305555555620231</v>
      </c>
      <c r="BK650" s="95">
        <f t="shared" si="381"/>
        <v>0.17083333332993789</v>
      </c>
      <c r="BL650" s="95">
        <f t="shared" si="382"/>
        <v>0.1430555555521601</v>
      </c>
      <c r="BM650" s="95" t="str">
        <f t="shared" si="383"/>
        <v>00:00</v>
      </c>
      <c r="BN650" s="110"/>
    </row>
    <row r="651" spans="1:66" s="8" customFormat="1" ht="12.75" customHeight="1" x14ac:dyDescent="0.25">
      <c r="A651" s="150">
        <v>591</v>
      </c>
      <c r="B651" s="150">
        <v>49</v>
      </c>
      <c r="C651" s="90">
        <v>5</v>
      </c>
      <c r="D651" s="111" t="s">
        <v>113</v>
      </c>
      <c r="E651" s="210" t="s">
        <v>771</v>
      </c>
      <c r="F651" s="150" t="s">
        <v>27</v>
      </c>
      <c r="G651" s="150" t="s">
        <v>12</v>
      </c>
      <c r="H651" s="150" t="s">
        <v>115</v>
      </c>
      <c r="I651" s="150" t="s">
        <v>859</v>
      </c>
      <c r="J651" s="151">
        <v>45554</v>
      </c>
      <c r="K651" s="135" t="s">
        <v>117</v>
      </c>
      <c r="L651" s="135">
        <v>282001024</v>
      </c>
      <c r="M651" s="151">
        <v>45555</v>
      </c>
      <c r="N651" s="152">
        <v>45555.125</v>
      </c>
      <c r="O651" s="152">
        <v>45555.125</v>
      </c>
      <c r="P651" s="152">
        <v>45555.145833333336</v>
      </c>
      <c r="Q651" s="152">
        <v>45555.333333333336</v>
      </c>
      <c r="R651" s="152" t="s">
        <v>118</v>
      </c>
      <c r="S651" s="152" t="s">
        <v>118</v>
      </c>
      <c r="T651" s="152">
        <v>45555.375</v>
      </c>
      <c r="U651" s="152">
        <v>45555.458333333336</v>
      </c>
      <c r="V651" s="219">
        <f t="shared" si="375"/>
        <v>0.20833333333575865</v>
      </c>
      <c r="W651" s="203">
        <v>0.20833333333333334</v>
      </c>
      <c r="X651" s="219">
        <f t="shared" si="376"/>
        <v>2.4253099528692701E-12</v>
      </c>
      <c r="Y651" s="96">
        <v>0</v>
      </c>
      <c r="Z651" s="96">
        <v>58</v>
      </c>
      <c r="AA651" s="96">
        <f t="shared" si="334"/>
        <v>58</v>
      </c>
      <c r="AB651" s="97">
        <f t="shared" si="335"/>
        <v>0</v>
      </c>
      <c r="AC651" s="97">
        <f t="shared" si="336"/>
        <v>4016.1900000000005</v>
      </c>
      <c r="AD651" s="98">
        <v>4016.19</v>
      </c>
      <c r="AE651" s="98">
        <v>4024.8</v>
      </c>
      <c r="AF651" s="98">
        <v>4054.2</v>
      </c>
      <c r="AG651" s="98">
        <f t="shared" si="337"/>
        <v>38.009999999999764</v>
      </c>
      <c r="AH651" s="99">
        <v>1586.7</v>
      </c>
      <c r="AI651" s="100">
        <f t="shared" si="338"/>
        <v>6432799.1399999997</v>
      </c>
      <c r="AJ651" s="100">
        <f t="shared" ref="AJ651:AJ656" si="384">(0*AH651)*2</f>
        <v>0</v>
      </c>
      <c r="AK651" s="100">
        <v>0</v>
      </c>
      <c r="AL651" s="100">
        <v>24140</v>
      </c>
      <c r="AM651" s="100">
        <v>0</v>
      </c>
      <c r="AN651" s="100">
        <v>0</v>
      </c>
      <c r="AO651" s="100">
        <f>IFERROR(AF651*20+(((AJ651/AH651)/2)*20),0)</f>
        <v>81084</v>
      </c>
      <c r="AP651" s="100">
        <f t="shared" si="364"/>
        <v>326902</v>
      </c>
      <c r="AQ651" s="101">
        <f t="shared" si="374"/>
        <v>6864926</v>
      </c>
      <c r="AR651" s="101">
        <v>0</v>
      </c>
      <c r="AS651" s="101">
        <v>0</v>
      </c>
      <c r="AT651" s="102" t="s">
        <v>34</v>
      </c>
      <c r="AU651" s="109">
        <v>19</v>
      </c>
      <c r="AV651" s="100">
        <f>42.78-24.78</f>
        <v>18</v>
      </c>
      <c r="AW651" s="105">
        <v>0</v>
      </c>
      <c r="AX651" s="216">
        <f t="shared" si="377"/>
        <v>0.93754624833505407</v>
      </c>
      <c r="AY651" s="217">
        <f t="shared" si="378"/>
        <v>60311</v>
      </c>
      <c r="AZ651" s="107"/>
      <c r="BA651" s="94">
        <v>45555.125</v>
      </c>
      <c r="BB651" s="94">
        <v>45555.145833333336</v>
      </c>
      <c r="BC651" s="94">
        <v>45555.152777777781</v>
      </c>
      <c r="BD651" s="94">
        <v>45555.3125</v>
      </c>
      <c r="BE651" s="95">
        <f t="shared" si="379"/>
        <v>0.1875</v>
      </c>
      <c r="BF651" s="95">
        <v>1.1805555555555555E-2</v>
      </c>
      <c r="BG651" s="95">
        <v>1.3194444444444444E-2</v>
      </c>
      <c r="BH651" s="95">
        <f t="shared" si="380"/>
        <v>2.0833333335758653E-2</v>
      </c>
      <c r="BI651" s="95">
        <f t="shared" si="380"/>
        <v>6.9444444452528842E-3</v>
      </c>
      <c r="BJ651" s="95">
        <f t="shared" si="380"/>
        <v>0.15972222221898846</v>
      </c>
      <c r="BK651" s="95">
        <f t="shared" si="381"/>
        <v>0.16666666666424135</v>
      </c>
      <c r="BL651" s="95">
        <f t="shared" si="382"/>
        <v>0.14166666666424133</v>
      </c>
      <c r="BM651" s="95" t="str">
        <f t="shared" si="383"/>
        <v>00:00</v>
      </c>
      <c r="BN651" s="110"/>
    </row>
    <row r="652" spans="1:66" s="8" customFormat="1" ht="12.75" customHeight="1" x14ac:dyDescent="0.25">
      <c r="A652" s="150">
        <v>592</v>
      </c>
      <c r="B652" s="150">
        <v>50</v>
      </c>
      <c r="C652" s="90">
        <v>7</v>
      </c>
      <c r="D652" s="111" t="s">
        <v>148</v>
      </c>
      <c r="E652" s="210" t="s">
        <v>840</v>
      </c>
      <c r="F652" s="150" t="s">
        <v>19</v>
      </c>
      <c r="G652" s="150" t="s">
        <v>17</v>
      </c>
      <c r="H652" s="150" t="s">
        <v>150</v>
      </c>
      <c r="I652" s="150" t="s">
        <v>860</v>
      </c>
      <c r="J652" s="151">
        <v>45552</v>
      </c>
      <c r="K652" s="135" t="s">
        <v>122</v>
      </c>
      <c r="L652" s="135">
        <v>461000475</v>
      </c>
      <c r="M652" s="151">
        <v>45555</v>
      </c>
      <c r="N652" s="152">
        <v>45555.333333333336</v>
      </c>
      <c r="O652" s="152">
        <v>45555.333333333336</v>
      </c>
      <c r="P652" s="152">
        <v>45555.34375</v>
      </c>
      <c r="Q652" s="152">
        <v>45555.541666666664</v>
      </c>
      <c r="R652" s="152" t="s">
        <v>118</v>
      </c>
      <c r="S652" s="152" t="s">
        <v>861</v>
      </c>
      <c r="T652" s="152">
        <v>45555.625</v>
      </c>
      <c r="U652" s="152">
        <v>45555.715277777781</v>
      </c>
      <c r="V652" s="219">
        <f t="shared" si="375"/>
        <v>0.20833333332848269</v>
      </c>
      <c r="W652" s="203">
        <v>0.20833333333333334</v>
      </c>
      <c r="X652" s="219" t="str">
        <f t="shared" si="376"/>
        <v>00:00</v>
      </c>
      <c r="Y652" s="96">
        <v>0</v>
      </c>
      <c r="Z652" s="96">
        <v>59</v>
      </c>
      <c r="AA652" s="96">
        <f t="shared" si="334"/>
        <v>59</v>
      </c>
      <c r="AB652" s="97">
        <f t="shared" si="335"/>
        <v>0</v>
      </c>
      <c r="AC652" s="97">
        <f t="shared" si="336"/>
        <v>4071.5</v>
      </c>
      <c r="AD652" s="98">
        <v>4071.5</v>
      </c>
      <c r="AE652" s="98">
        <v>4103.6000000000004</v>
      </c>
      <c r="AF652" s="98">
        <v>4126</v>
      </c>
      <c r="AG652" s="98">
        <f t="shared" si="337"/>
        <v>54.5</v>
      </c>
      <c r="AH652" s="99">
        <v>672.5</v>
      </c>
      <c r="AI652" s="100">
        <f t="shared" si="338"/>
        <v>2774735</v>
      </c>
      <c r="AJ652" s="100">
        <f t="shared" si="384"/>
        <v>0</v>
      </c>
      <c r="AK652" s="100">
        <v>0</v>
      </c>
      <c r="AL652" s="100">
        <v>24290</v>
      </c>
      <c r="AM652" s="100">
        <v>0</v>
      </c>
      <c r="AN652" s="100">
        <v>0</v>
      </c>
      <c r="AO652" s="100">
        <v>0</v>
      </c>
      <c r="AP652" s="100">
        <f t="shared" si="364"/>
        <v>139952</v>
      </c>
      <c r="AQ652" s="101">
        <f t="shared" si="374"/>
        <v>2938977</v>
      </c>
      <c r="AR652" s="101">
        <v>0</v>
      </c>
      <c r="AS652" s="101">
        <v>0</v>
      </c>
      <c r="AT652" s="102" t="s">
        <v>33</v>
      </c>
      <c r="AU652" s="109">
        <v>16</v>
      </c>
      <c r="AV652" s="100">
        <f>37.15-19.65</f>
        <v>17.5</v>
      </c>
      <c r="AW652" s="105">
        <v>1</v>
      </c>
      <c r="AX652" s="216">
        <f t="shared" si="377"/>
        <v>1.320891904992729</v>
      </c>
      <c r="AY652" s="217">
        <f t="shared" si="378"/>
        <v>36652</v>
      </c>
      <c r="AZ652" s="107"/>
      <c r="BA652" s="94">
        <v>45555.333333333336</v>
      </c>
      <c r="BB652" s="94">
        <v>45555.34375</v>
      </c>
      <c r="BC652" s="94">
        <v>45555.354166666664</v>
      </c>
      <c r="BD652" s="94">
        <v>45555.572916666664</v>
      </c>
      <c r="BE652" s="95">
        <f t="shared" si="379"/>
        <v>0.23958333332848269</v>
      </c>
      <c r="BF652" s="95">
        <v>5.5555555555555552E-2</v>
      </c>
      <c r="BG652" s="95">
        <v>6.9444444444444441E-3</v>
      </c>
      <c r="BH652" s="95">
        <f t="shared" si="380"/>
        <v>1.0416666664241347E-2</v>
      </c>
      <c r="BI652" s="95">
        <f t="shared" si="380"/>
        <v>1.0416666664241347E-2</v>
      </c>
      <c r="BJ652" s="95">
        <f t="shared" si="380"/>
        <v>0.21875</v>
      </c>
      <c r="BK652" s="95">
        <f t="shared" si="381"/>
        <v>0.22916666666424135</v>
      </c>
      <c r="BL652" s="95">
        <f t="shared" si="382"/>
        <v>0.16666666666424135</v>
      </c>
      <c r="BM652" s="95">
        <f t="shared" si="383"/>
        <v>3.1249999995149352E-2</v>
      </c>
      <c r="BN652" s="110"/>
    </row>
    <row r="653" spans="1:66" s="8" customFormat="1" ht="12.75" customHeight="1" x14ac:dyDescent="0.25">
      <c r="A653" s="150">
        <v>593</v>
      </c>
      <c r="B653" s="150">
        <v>51</v>
      </c>
      <c r="C653" s="90">
        <v>8</v>
      </c>
      <c r="D653" s="111" t="s">
        <v>148</v>
      </c>
      <c r="E653" s="210" t="s">
        <v>840</v>
      </c>
      <c r="F653" s="150" t="s">
        <v>19</v>
      </c>
      <c r="G653" s="150" t="s">
        <v>17</v>
      </c>
      <c r="H653" s="150" t="s">
        <v>150</v>
      </c>
      <c r="I653" s="150" t="s">
        <v>862</v>
      </c>
      <c r="J653" s="151">
        <v>45554</v>
      </c>
      <c r="K653" s="135" t="s">
        <v>117</v>
      </c>
      <c r="L653" s="135">
        <v>461000476</v>
      </c>
      <c r="M653" s="151">
        <v>45556</v>
      </c>
      <c r="N653" s="152">
        <v>45555.614583333336</v>
      </c>
      <c r="O653" s="152">
        <v>45555.614583333336</v>
      </c>
      <c r="P653" s="152">
        <v>45555.625</v>
      </c>
      <c r="Q653" s="152">
        <v>45555.822916666664</v>
      </c>
      <c r="R653" s="152" t="s">
        <v>118</v>
      </c>
      <c r="S653" s="152" t="s">
        <v>118</v>
      </c>
      <c r="T653" s="152">
        <v>45555.902777777781</v>
      </c>
      <c r="U653" s="152">
        <v>45556.031944444447</v>
      </c>
      <c r="V653" s="219">
        <f t="shared" si="375"/>
        <v>0.20833333332848269</v>
      </c>
      <c r="W653" s="203">
        <v>0.20833333333333334</v>
      </c>
      <c r="X653" s="219" t="str">
        <f t="shared" si="376"/>
        <v>00:00</v>
      </c>
      <c r="Y653" s="96">
        <v>9</v>
      </c>
      <c r="Z653" s="96">
        <v>50</v>
      </c>
      <c r="AA653" s="96">
        <f t="shared" si="334"/>
        <v>59</v>
      </c>
      <c r="AB653" s="97">
        <f t="shared" si="335"/>
        <v>626.64254237288128</v>
      </c>
      <c r="AC653" s="97">
        <f t="shared" si="336"/>
        <v>3481.3474576271183</v>
      </c>
      <c r="AD653" s="98">
        <v>4107.99</v>
      </c>
      <c r="AE653" s="98">
        <v>4100.6000000000004</v>
      </c>
      <c r="AF653" s="98">
        <v>4132.6000000000004</v>
      </c>
      <c r="AG653" s="98">
        <f t="shared" si="337"/>
        <v>24.610000000000582</v>
      </c>
      <c r="AH653" s="99">
        <v>672.5</v>
      </c>
      <c r="AI653" s="100">
        <f t="shared" si="338"/>
        <v>2779173.5000000005</v>
      </c>
      <c r="AJ653" s="100">
        <f t="shared" si="384"/>
        <v>0</v>
      </c>
      <c r="AK653" s="100">
        <v>0</v>
      </c>
      <c r="AL653" s="100">
        <v>24290</v>
      </c>
      <c r="AM653" s="100">
        <v>0</v>
      </c>
      <c r="AN653" s="100">
        <v>0</v>
      </c>
      <c r="AO653" s="100">
        <v>0</v>
      </c>
      <c r="AP653" s="100">
        <f t="shared" si="364"/>
        <v>140174</v>
      </c>
      <c r="AQ653" s="101">
        <f t="shared" si="374"/>
        <v>2943638</v>
      </c>
      <c r="AR653" s="101">
        <v>0</v>
      </c>
      <c r="AS653" s="101">
        <v>0</v>
      </c>
      <c r="AT653" s="102" t="s">
        <v>33</v>
      </c>
      <c r="AU653" s="109">
        <v>22</v>
      </c>
      <c r="AV653" s="100">
        <f>64.54-26.04</f>
        <v>38.500000000000007</v>
      </c>
      <c r="AW653" s="105">
        <v>0</v>
      </c>
      <c r="AX653" s="216">
        <f t="shared" si="377"/>
        <v>0.59550888060786378</v>
      </c>
      <c r="AY653" s="217">
        <f t="shared" si="378"/>
        <v>16551</v>
      </c>
      <c r="AZ653" s="107"/>
      <c r="BA653" s="94">
        <v>45555.614583333336</v>
      </c>
      <c r="BB653" s="94">
        <v>45555.625</v>
      </c>
      <c r="BC653" s="94">
        <v>45555.67291666667</v>
      </c>
      <c r="BD653" s="94">
        <v>45555.838194444441</v>
      </c>
      <c r="BE653" s="95">
        <f t="shared" si="379"/>
        <v>0.22361111110512866</v>
      </c>
      <c r="BF653" s="95">
        <v>4.8611111111111112E-2</v>
      </c>
      <c r="BG653" s="95">
        <v>3.7499999999999999E-2</v>
      </c>
      <c r="BH653" s="95">
        <f t="shared" si="380"/>
        <v>1.0416666664241347E-2</v>
      </c>
      <c r="BI653" s="95">
        <f t="shared" si="380"/>
        <v>4.7916666670062114E-2</v>
      </c>
      <c r="BJ653" s="95">
        <f t="shared" si="380"/>
        <v>0.1652777777708252</v>
      </c>
      <c r="BK653" s="95">
        <f t="shared" si="381"/>
        <v>0.21319444444088731</v>
      </c>
      <c r="BL653" s="95">
        <f t="shared" si="382"/>
        <v>0.1270833333297762</v>
      </c>
      <c r="BM653" s="95">
        <f t="shared" si="383"/>
        <v>1.5277777771795314E-2</v>
      </c>
      <c r="BN653" s="110"/>
    </row>
    <row r="654" spans="1:66" s="8" customFormat="1" ht="12.75" customHeight="1" x14ac:dyDescent="0.25">
      <c r="A654" s="150">
        <v>594</v>
      </c>
      <c r="B654" s="150">
        <v>52</v>
      </c>
      <c r="C654" s="90">
        <v>1</v>
      </c>
      <c r="D654" s="111" t="s">
        <v>113</v>
      </c>
      <c r="E654" s="210" t="s">
        <v>863</v>
      </c>
      <c r="F654" s="150" t="s">
        <v>32</v>
      </c>
      <c r="G654" s="150" t="s">
        <v>8</v>
      </c>
      <c r="H654" s="150" t="s">
        <v>783</v>
      </c>
      <c r="I654" s="150" t="s">
        <v>864</v>
      </c>
      <c r="J654" s="151">
        <v>45555</v>
      </c>
      <c r="K654" s="135" t="s">
        <v>122</v>
      </c>
      <c r="L654" s="135">
        <v>281000241</v>
      </c>
      <c r="M654" s="151">
        <v>45556</v>
      </c>
      <c r="N654" s="152">
        <v>45555.864583333336</v>
      </c>
      <c r="O654" s="152">
        <v>45555.864583333336</v>
      </c>
      <c r="P654" s="152">
        <v>45555.888888888891</v>
      </c>
      <c r="Q654" s="152">
        <v>45556.0625</v>
      </c>
      <c r="R654" s="152" t="s">
        <v>118</v>
      </c>
      <c r="S654" s="152" t="s">
        <v>118</v>
      </c>
      <c r="T654" s="152">
        <v>45556.069444444445</v>
      </c>
      <c r="U654" s="152">
        <v>45556.197916666664</v>
      </c>
      <c r="V654" s="219">
        <f t="shared" si="375"/>
        <v>0.19791666666424135</v>
      </c>
      <c r="W654" s="203">
        <v>0.20833333333333334</v>
      </c>
      <c r="X654" s="219" t="str">
        <f t="shared" si="376"/>
        <v>00:00</v>
      </c>
      <c r="Y654" s="96">
        <v>0</v>
      </c>
      <c r="Z654" s="96">
        <v>57</v>
      </c>
      <c r="AA654" s="96">
        <f t="shared" si="334"/>
        <v>57</v>
      </c>
      <c r="AB654" s="97">
        <f t="shared" si="335"/>
        <v>0</v>
      </c>
      <c r="AC654" s="97">
        <f t="shared" si="336"/>
        <v>3938</v>
      </c>
      <c r="AD654" s="98">
        <v>3938</v>
      </c>
      <c r="AE654" s="98">
        <v>3961.7</v>
      </c>
      <c r="AF654" s="98">
        <v>3978.2</v>
      </c>
      <c r="AG654" s="98">
        <f t="shared" si="337"/>
        <v>40.199999999999818</v>
      </c>
      <c r="AH654" s="99">
        <v>1228</v>
      </c>
      <c r="AI654" s="100">
        <f t="shared" si="338"/>
        <v>4885229.5999999996</v>
      </c>
      <c r="AJ654" s="100">
        <f t="shared" si="384"/>
        <v>0</v>
      </c>
      <c r="AK654" s="100">
        <v>0</v>
      </c>
      <c r="AL654" s="100">
        <v>23990</v>
      </c>
      <c r="AM654" s="100">
        <v>0</v>
      </c>
      <c r="AN654" s="100">
        <v>0</v>
      </c>
      <c r="AO654" s="100">
        <v>0</v>
      </c>
      <c r="AP654" s="100">
        <f t="shared" si="364"/>
        <v>245461</v>
      </c>
      <c r="AQ654" s="101">
        <f t="shared" si="374"/>
        <v>5154681</v>
      </c>
      <c r="AR654" s="101">
        <v>0</v>
      </c>
      <c r="AS654" s="101">
        <v>0</v>
      </c>
      <c r="AT654" s="102" t="s">
        <v>34</v>
      </c>
      <c r="AU654" s="109">
        <v>11</v>
      </c>
      <c r="AV654" s="100">
        <f>24.8-14.3</f>
        <v>10.5</v>
      </c>
      <c r="AW654" s="105">
        <v>0</v>
      </c>
      <c r="AX654" s="216">
        <f t="shared" si="377"/>
        <v>1.0105072645920219</v>
      </c>
      <c r="AY654" s="217">
        <f t="shared" si="378"/>
        <v>49366</v>
      </c>
      <c r="AZ654" s="107"/>
      <c r="BA654" s="94">
        <v>45555.864583333336</v>
      </c>
      <c r="BB654" s="94">
        <v>45555.888888888891</v>
      </c>
      <c r="BC654" s="94">
        <v>45555.902777777781</v>
      </c>
      <c r="BD654" s="94">
        <v>45556.046527777777</v>
      </c>
      <c r="BE654" s="95">
        <f t="shared" si="379"/>
        <v>0.18194444444088731</v>
      </c>
      <c r="BF654" s="95">
        <v>1.8749999999999999E-2</v>
      </c>
      <c r="BG654" s="95">
        <v>6.9444444444444441E-3</v>
      </c>
      <c r="BH654" s="95">
        <f t="shared" si="380"/>
        <v>2.4305555554747116E-2</v>
      </c>
      <c r="BI654" s="95">
        <f t="shared" si="380"/>
        <v>1.3888888890505768E-2</v>
      </c>
      <c r="BJ654" s="95">
        <f t="shared" si="380"/>
        <v>0.14374999999563443</v>
      </c>
      <c r="BK654" s="95">
        <f t="shared" si="381"/>
        <v>0.15763888888614019</v>
      </c>
      <c r="BL654" s="95">
        <f t="shared" si="382"/>
        <v>0.13194444444169576</v>
      </c>
      <c r="BM654" s="95" t="str">
        <f t="shared" si="383"/>
        <v>00:00</v>
      </c>
      <c r="BN654" s="110"/>
    </row>
    <row r="655" spans="1:66" s="8" customFormat="1" ht="12.75" customHeight="1" x14ac:dyDescent="0.25">
      <c r="A655" s="150">
        <v>595</v>
      </c>
      <c r="B655" s="150">
        <v>53</v>
      </c>
      <c r="C655" s="90">
        <v>30</v>
      </c>
      <c r="D655" s="111" t="s">
        <v>113</v>
      </c>
      <c r="E655" s="210" t="s">
        <v>711</v>
      </c>
      <c r="F655" s="150" t="s">
        <v>32</v>
      </c>
      <c r="G655" s="150" t="s">
        <v>8</v>
      </c>
      <c r="H655" s="150" t="s">
        <v>805</v>
      </c>
      <c r="I655" s="150" t="s">
        <v>865</v>
      </c>
      <c r="J655" s="151">
        <v>45555</v>
      </c>
      <c r="K655" s="135" t="s">
        <v>122</v>
      </c>
      <c r="L655" s="135">
        <v>261005990</v>
      </c>
      <c r="M655" s="151">
        <v>45556</v>
      </c>
      <c r="N655" s="152">
        <v>45556.4375</v>
      </c>
      <c r="O655" s="152">
        <v>45556.4375</v>
      </c>
      <c r="P655" s="152">
        <v>45556.447916666664</v>
      </c>
      <c r="Q655" s="152">
        <v>45556.614583333336</v>
      </c>
      <c r="R655" s="152" t="s">
        <v>118</v>
      </c>
      <c r="S655" s="152" t="s">
        <v>118</v>
      </c>
      <c r="T655" s="152">
        <v>45556.666666666664</v>
      </c>
      <c r="U655" s="152">
        <v>45556.71875</v>
      </c>
      <c r="V655" s="219">
        <f t="shared" si="375"/>
        <v>0.17708333333575865</v>
      </c>
      <c r="W655" s="203">
        <v>0.20833333333333334</v>
      </c>
      <c r="X655" s="219" t="str">
        <f t="shared" si="376"/>
        <v>00:00</v>
      </c>
      <c r="Y655" s="96">
        <v>0</v>
      </c>
      <c r="Z655" s="96">
        <v>59</v>
      </c>
      <c r="AA655" s="96">
        <f t="shared" si="334"/>
        <v>59</v>
      </c>
      <c r="AB655" s="97">
        <f t="shared" si="335"/>
        <v>0</v>
      </c>
      <c r="AC655" s="97">
        <f t="shared" si="336"/>
        <v>3983.06</v>
      </c>
      <c r="AD655" s="98">
        <v>3983.06</v>
      </c>
      <c r="AE655" s="98">
        <v>4101.6000000000004</v>
      </c>
      <c r="AF655" s="98">
        <v>4102.2</v>
      </c>
      <c r="AG655" s="98">
        <f t="shared" si="337"/>
        <v>119.13999999999987</v>
      </c>
      <c r="AH655" s="99">
        <v>1435.6</v>
      </c>
      <c r="AI655" s="100">
        <f t="shared" si="338"/>
        <v>5889118.3199999994</v>
      </c>
      <c r="AJ655" s="100">
        <f t="shared" si="384"/>
        <v>0</v>
      </c>
      <c r="AK655" s="100">
        <v>0</v>
      </c>
      <c r="AL655" s="100">
        <v>0</v>
      </c>
      <c r="AM655" s="100">
        <v>0</v>
      </c>
      <c r="AN655" s="100">
        <v>0</v>
      </c>
      <c r="AO655" s="100">
        <v>0</v>
      </c>
      <c r="AP655" s="100">
        <f t="shared" si="364"/>
        <v>294456</v>
      </c>
      <c r="AQ655" s="101">
        <f t="shared" si="374"/>
        <v>6183575</v>
      </c>
      <c r="AR655" s="101">
        <v>0</v>
      </c>
      <c r="AS655" s="101">
        <v>0</v>
      </c>
      <c r="AT655" s="102" t="s">
        <v>34</v>
      </c>
      <c r="AU655" s="109" t="s">
        <v>118</v>
      </c>
      <c r="AV655" s="100">
        <v>0</v>
      </c>
      <c r="AW655" s="105">
        <v>0</v>
      </c>
      <c r="AX655" s="216">
        <f t="shared" si="377"/>
        <v>2.9042952562039854</v>
      </c>
      <c r="AY655" s="217">
        <f t="shared" si="378"/>
        <v>171038</v>
      </c>
      <c r="AZ655" s="107"/>
      <c r="BA655" s="94">
        <v>45556.4375</v>
      </c>
      <c r="BB655" s="94">
        <v>45556.447916666664</v>
      </c>
      <c r="BC655" s="94">
        <v>45556.459722222222</v>
      </c>
      <c r="BD655" s="94">
        <v>45556.588194444441</v>
      </c>
      <c r="BE655" s="95">
        <f t="shared" si="379"/>
        <v>0.15069444444088731</v>
      </c>
      <c r="BF655" s="95">
        <v>0</v>
      </c>
      <c r="BG655" s="95">
        <v>1.1805555555555555E-2</v>
      </c>
      <c r="BH655" s="95">
        <f t="shared" si="380"/>
        <v>1.0416666664241347E-2</v>
      </c>
      <c r="BI655" s="95">
        <f t="shared" si="380"/>
        <v>1.1805555557657499E-2</v>
      </c>
      <c r="BJ655" s="95">
        <f t="shared" si="380"/>
        <v>0.12847222221898846</v>
      </c>
      <c r="BK655" s="95">
        <f t="shared" si="381"/>
        <v>0.14027777777664596</v>
      </c>
      <c r="BL655" s="95">
        <f t="shared" si="382"/>
        <v>0.12847222222109039</v>
      </c>
      <c r="BM655" s="95" t="str">
        <f t="shared" si="383"/>
        <v>00:00</v>
      </c>
      <c r="BN655" s="110"/>
    </row>
    <row r="656" spans="1:66" s="8" customFormat="1" ht="12.75" customHeight="1" x14ac:dyDescent="0.25">
      <c r="A656" s="150">
        <v>596</v>
      </c>
      <c r="B656" s="150">
        <v>54</v>
      </c>
      <c r="C656" s="90">
        <v>13</v>
      </c>
      <c r="D656" s="111" t="s">
        <v>113</v>
      </c>
      <c r="E656" s="210" t="s">
        <v>759</v>
      </c>
      <c r="F656" s="150" t="s">
        <v>29</v>
      </c>
      <c r="G656" s="150" t="s">
        <v>8</v>
      </c>
      <c r="H656" s="150" t="s">
        <v>124</v>
      </c>
      <c r="I656" s="150" t="s">
        <v>866</v>
      </c>
      <c r="J656" s="151">
        <v>45555</v>
      </c>
      <c r="K656" s="135" t="s">
        <v>117</v>
      </c>
      <c r="L656" s="135">
        <v>461000477</v>
      </c>
      <c r="M656" s="151">
        <v>45557</v>
      </c>
      <c r="N656" s="152">
        <v>45556.635416666664</v>
      </c>
      <c r="O656" s="152">
        <v>45556.635416666664</v>
      </c>
      <c r="P656" s="152">
        <v>45556.642361111109</v>
      </c>
      <c r="Q656" s="152">
        <v>45556.833333333336</v>
      </c>
      <c r="R656" s="152" t="s">
        <v>118</v>
      </c>
      <c r="S656" s="152" t="s">
        <v>118</v>
      </c>
      <c r="T656" s="152">
        <v>45556.895833333336</v>
      </c>
      <c r="U656" s="152">
        <v>45557.048611111109</v>
      </c>
      <c r="V656" s="219">
        <f t="shared" si="375"/>
        <v>0.19791666667151731</v>
      </c>
      <c r="W656" s="203">
        <v>0.20833333333333334</v>
      </c>
      <c r="X656" s="219" t="str">
        <f t="shared" si="376"/>
        <v>00:00</v>
      </c>
      <c r="Y656" s="96">
        <v>0</v>
      </c>
      <c r="Z656" s="96">
        <v>58</v>
      </c>
      <c r="AA656" s="96">
        <f t="shared" si="334"/>
        <v>58</v>
      </c>
      <c r="AB656" s="97">
        <f t="shared" si="335"/>
        <v>0</v>
      </c>
      <c r="AC656" s="97">
        <f t="shared" si="336"/>
        <v>4001.46</v>
      </c>
      <c r="AD656" s="98">
        <v>4001.46</v>
      </c>
      <c r="AE656" s="98">
        <v>4041.6</v>
      </c>
      <c r="AF656" s="98">
        <v>4051.8</v>
      </c>
      <c r="AG656" s="98">
        <f t="shared" si="337"/>
        <v>50.340000000000146</v>
      </c>
      <c r="AH656" s="99">
        <v>797.2</v>
      </c>
      <c r="AI656" s="100">
        <f t="shared" si="338"/>
        <v>3230094.9600000004</v>
      </c>
      <c r="AJ656" s="100">
        <f t="shared" si="384"/>
        <v>0</v>
      </c>
      <c r="AK656" s="100">
        <v>0</v>
      </c>
      <c r="AL656" s="100">
        <v>24140</v>
      </c>
      <c r="AM656" s="100">
        <v>0</v>
      </c>
      <c r="AN656" s="100">
        <v>0</v>
      </c>
      <c r="AO656" s="100">
        <v>0</v>
      </c>
      <c r="AP656" s="100">
        <f t="shared" si="364"/>
        <v>162712</v>
      </c>
      <c r="AQ656" s="101">
        <f t="shared" si="374"/>
        <v>3416947</v>
      </c>
      <c r="AR656" s="101">
        <v>0</v>
      </c>
      <c r="AS656" s="101">
        <v>0</v>
      </c>
      <c r="AT656" s="102" t="s">
        <v>34</v>
      </c>
      <c r="AU656" s="109">
        <v>2</v>
      </c>
      <c r="AV656" s="100">
        <f>11.2-9.7</f>
        <v>1.5</v>
      </c>
      <c r="AW656" s="105">
        <v>0</v>
      </c>
      <c r="AX656" s="216">
        <f t="shared" si="377"/>
        <v>1.2424107803939024</v>
      </c>
      <c r="AY656" s="217">
        <f t="shared" si="378"/>
        <v>40132</v>
      </c>
      <c r="AZ656" s="107"/>
      <c r="BA656" s="94">
        <v>45556.635416666664</v>
      </c>
      <c r="BB656" s="94">
        <v>45556.642361111109</v>
      </c>
      <c r="BC656" s="94">
        <v>45556.642361111109</v>
      </c>
      <c r="BD656" s="94">
        <v>45556.81527777778</v>
      </c>
      <c r="BE656" s="95">
        <f t="shared" si="379"/>
        <v>0.179861111115315</v>
      </c>
      <c r="BF656" s="95">
        <v>0</v>
      </c>
      <c r="BG656" s="95">
        <v>2.4305555555555556E-2</v>
      </c>
      <c r="BH656" s="95">
        <f t="shared" si="380"/>
        <v>6.9444444452528842E-3</v>
      </c>
      <c r="BI656" s="95">
        <f t="shared" si="380"/>
        <v>0</v>
      </c>
      <c r="BJ656" s="95">
        <f t="shared" si="380"/>
        <v>0.17291666667006211</v>
      </c>
      <c r="BK656" s="95">
        <f t="shared" si="381"/>
        <v>0.17291666667006211</v>
      </c>
      <c r="BL656" s="95">
        <f t="shared" si="382"/>
        <v>0.14861111111450656</v>
      </c>
      <c r="BM656" s="95" t="str">
        <f t="shared" si="383"/>
        <v>00:00</v>
      </c>
      <c r="BN656" s="110"/>
    </row>
    <row r="657" spans="1:66" s="8" customFormat="1" ht="12.75" customHeight="1" x14ac:dyDescent="0.25">
      <c r="A657" s="150">
        <v>597</v>
      </c>
      <c r="B657" s="150">
        <v>55</v>
      </c>
      <c r="C657" s="90">
        <v>1</v>
      </c>
      <c r="D657" s="111" t="s">
        <v>113</v>
      </c>
      <c r="E657" s="210" t="s">
        <v>863</v>
      </c>
      <c r="F657" s="150" t="s">
        <v>32</v>
      </c>
      <c r="G657" s="150" t="s">
        <v>8</v>
      </c>
      <c r="H657" s="150" t="s">
        <v>779</v>
      </c>
      <c r="I657" s="150" t="s">
        <v>867</v>
      </c>
      <c r="J657" s="151">
        <v>45555</v>
      </c>
      <c r="K657" s="135" t="s">
        <v>122</v>
      </c>
      <c r="L657" s="135">
        <v>281000242</v>
      </c>
      <c r="M657" s="151">
        <v>45557</v>
      </c>
      <c r="N657" s="152">
        <v>45556.989583333336</v>
      </c>
      <c r="O657" s="152">
        <v>45556.989583333336</v>
      </c>
      <c r="P657" s="152">
        <v>45556.993055555555</v>
      </c>
      <c r="Q657" s="152">
        <v>45557.197916666664</v>
      </c>
      <c r="R657" s="152" t="s">
        <v>118</v>
      </c>
      <c r="S657" s="152" t="s">
        <v>118</v>
      </c>
      <c r="T657" s="152">
        <v>45557.270833333336</v>
      </c>
      <c r="U657" s="152">
        <v>45557.356944444444</v>
      </c>
      <c r="V657" s="219">
        <f t="shared" si="375"/>
        <v>0.20833333332848269</v>
      </c>
      <c r="W657" s="203">
        <v>0.20833333333333334</v>
      </c>
      <c r="X657" s="219" t="str">
        <f t="shared" si="376"/>
        <v>00:00</v>
      </c>
      <c r="Y657" s="96">
        <v>0</v>
      </c>
      <c r="Z657" s="96">
        <v>58</v>
      </c>
      <c r="AA657" s="96">
        <f t="shared" si="334"/>
        <v>58</v>
      </c>
      <c r="AB657" s="97">
        <f t="shared" si="335"/>
        <v>0</v>
      </c>
      <c r="AC657" s="97">
        <f t="shared" si="336"/>
        <v>3945.82</v>
      </c>
      <c r="AD657" s="98">
        <v>3945.82</v>
      </c>
      <c r="AE657" s="98">
        <v>4039.7</v>
      </c>
      <c r="AF657" s="98">
        <v>4043.2</v>
      </c>
      <c r="AG657" s="98">
        <f t="shared" si="337"/>
        <v>97.379999999999654</v>
      </c>
      <c r="AH657" s="99">
        <v>1435.6</v>
      </c>
      <c r="AI657" s="100">
        <f t="shared" si="338"/>
        <v>5804417.919999999</v>
      </c>
      <c r="AJ657" s="100">
        <f>(0.4*AH657)*2</f>
        <v>1148.48</v>
      </c>
      <c r="AK657" s="100">
        <v>0</v>
      </c>
      <c r="AL657" s="100">
        <v>0</v>
      </c>
      <c r="AM657" s="100">
        <v>0</v>
      </c>
      <c r="AN657" s="100">
        <v>0</v>
      </c>
      <c r="AO657" s="100">
        <v>0</v>
      </c>
      <c r="AP657" s="100">
        <f t="shared" si="364"/>
        <v>290279</v>
      </c>
      <c r="AQ657" s="101">
        <f t="shared" si="374"/>
        <v>6095846</v>
      </c>
      <c r="AR657" s="101">
        <v>0</v>
      </c>
      <c r="AS657" s="101">
        <v>0</v>
      </c>
      <c r="AT657" s="102" t="s">
        <v>34</v>
      </c>
      <c r="AU657" s="109" t="s">
        <v>118</v>
      </c>
      <c r="AV657" s="100">
        <v>0</v>
      </c>
      <c r="AW657" s="105">
        <v>0</v>
      </c>
      <c r="AX657" s="216">
        <f t="shared" si="377"/>
        <v>2.408488326078345</v>
      </c>
      <c r="AY657" s="217">
        <f t="shared" si="378"/>
        <v>139799</v>
      </c>
      <c r="AZ657" s="107"/>
      <c r="BA657" s="94">
        <v>45556.989583333336</v>
      </c>
      <c r="BB657" s="94">
        <v>45556.993055555555</v>
      </c>
      <c r="BC657" s="94">
        <v>45556.993055555555</v>
      </c>
      <c r="BD657" s="94">
        <v>45557.119444444441</v>
      </c>
      <c r="BE657" s="95">
        <f t="shared" si="379"/>
        <v>0.12986111110512866</v>
      </c>
      <c r="BF657" s="95">
        <v>0</v>
      </c>
      <c r="BG657" s="95">
        <v>0</v>
      </c>
      <c r="BH657" s="95">
        <f t="shared" si="380"/>
        <v>3.4722222189884633E-3</v>
      </c>
      <c r="BI657" s="95">
        <f t="shared" si="380"/>
        <v>0</v>
      </c>
      <c r="BJ657" s="95">
        <f t="shared" si="380"/>
        <v>0.12638888888614019</v>
      </c>
      <c r="BK657" s="95">
        <f t="shared" si="381"/>
        <v>0.12638888888614019</v>
      </c>
      <c r="BL657" s="95">
        <f t="shared" si="382"/>
        <v>0.12638888888614019</v>
      </c>
      <c r="BM657" s="95" t="str">
        <f t="shared" si="383"/>
        <v>00:00</v>
      </c>
      <c r="BN657" s="110"/>
    </row>
    <row r="658" spans="1:66" s="8" customFormat="1" ht="12.75" customHeight="1" x14ac:dyDescent="0.25">
      <c r="A658" s="150">
        <v>598</v>
      </c>
      <c r="B658" s="150">
        <v>56</v>
      </c>
      <c r="C658" s="90">
        <v>6</v>
      </c>
      <c r="D658" s="111" t="s">
        <v>113</v>
      </c>
      <c r="E658" s="210" t="s">
        <v>771</v>
      </c>
      <c r="F658" s="150" t="s">
        <v>27</v>
      </c>
      <c r="G658" s="150" t="s">
        <v>12</v>
      </c>
      <c r="H658" s="150" t="s">
        <v>115</v>
      </c>
      <c r="I658" s="150" t="s">
        <v>868</v>
      </c>
      <c r="J658" s="151">
        <v>45556</v>
      </c>
      <c r="K658" s="135" t="s">
        <v>117</v>
      </c>
      <c r="L658" s="135">
        <v>282001025</v>
      </c>
      <c r="M658" s="151">
        <v>45558</v>
      </c>
      <c r="N658" s="152">
        <v>45557.354166666664</v>
      </c>
      <c r="O658" s="152">
        <v>45557.354166666664</v>
      </c>
      <c r="P658" s="152">
        <v>45557.40625</v>
      </c>
      <c r="Q658" s="152">
        <v>45557.5625</v>
      </c>
      <c r="R658" s="152" t="s">
        <v>118</v>
      </c>
      <c r="S658" s="152" t="s">
        <v>118</v>
      </c>
      <c r="T658" s="152">
        <v>45557.625</v>
      </c>
      <c r="U658" s="152">
        <v>45557.75</v>
      </c>
      <c r="V658" s="219">
        <f t="shared" si="375"/>
        <v>0.20833333333575865</v>
      </c>
      <c r="W658" s="203">
        <v>0.20833333333333334</v>
      </c>
      <c r="X658" s="219">
        <f t="shared" si="376"/>
        <v>2.4253099528692701E-12</v>
      </c>
      <c r="Y658" s="96">
        <v>0</v>
      </c>
      <c r="Z658" s="96">
        <v>58</v>
      </c>
      <c r="AA658" s="96">
        <f t="shared" si="334"/>
        <v>58</v>
      </c>
      <c r="AB658" s="97">
        <f t="shared" si="335"/>
        <v>0</v>
      </c>
      <c r="AC658" s="97">
        <f t="shared" si="336"/>
        <v>3993.7699999999995</v>
      </c>
      <c r="AD658" s="98">
        <v>3993.77</v>
      </c>
      <c r="AE658" s="98">
        <v>4023.4</v>
      </c>
      <c r="AF658" s="98">
        <v>4038.8</v>
      </c>
      <c r="AG658" s="98">
        <f t="shared" si="337"/>
        <v>45.0300000000002</v>
      </c>
      <c r="AH658" s="99">
        <v>1586.7</v>
      </c>
      <c r="AI658" s="100">
        <f t="shared" si="338"/>
        <v>6408363.9600000009</v>
      </c>
      <c r="AJ658" s="100">
        <f>(0*AH658)*2</f>
        <v>0</v>
      </c>
      <c r="AK658" s="100">
        <v>0</v>
      </c>
      <c r="AL658" s="100">
        <v>24140</v>
      </c>
      <c r="AM658" s="100">
        <v>0</v>
      </c>
      <c r="AN658" s="100">
        <v>0</v>
      </c>
      <c r="AO658" s="100">
        <f>IFERROR(AF658*20+(((AJ658/AH658)/2)*20),0)</f>
        <v>80776</v>
      </c>
      <c r="AP658" s="100">
        <f t="shared" si="364"/>
        <v>325664</v>
      </c>
      <c r="AQ658" s="101">
        <f t="shared" si="374"/>
        <v>6838944</v>
      </c>
      <c r="AR658" s="101">
        <v>0</v>
      </c>
      <c r="AS658" s="101">
        <v>0</v>
      </c>
      <c r="AT658" s="102" t="s">
        <v>34</v>
      </c>
      <c r="AU658" s="109">
        <v>8</v>
      </c>
      <c r="AV658" s="100">
        <f>20.54-13.54</f>
        <v>7</v>
      </c>
      <c r="AW658" s="105">
        <v>0</v>
      </c>
      <c r="AX658" s="216">
        <f t="shared" si="377"/>
        <v>1.1149351292463157</v>
      </c>
      <c r="AY658" s="217">
        <f t="shared" si="378"/>
        <v>71450</v>
      </c>
      <c r="AZ658" s="107"/>
      <c r="BA658" s="94">
        <v>45557.354166666664</v>
      </c>
      <c r="BB658" s="94">
        <v>45557.40625</v>
      </c>
      <c r="BC658" s="94">
        <v>45557.40625</v>
      </c>
      <c r="BD658" s="94">
        <v>45557.574305555558</v>
      </c>
      <c r="BE658" s="95">
        <f t="shared" si="379"/>
        <v>0.22013888889341615</v>
      </c>
      <c r="BF658" s="95">
        <v>0</v>
      </c>
      <c r="BG658" s="95">
        <v>4.1666666666666664E-2</v>
      </c>
      <c r="BH658" s="95">
        <f t="shared" si="380"/>
        <v>5.2083333335758653E-2</v>
      </c>
      <c r="BI658" s="95">
        <f t="shared" si="380"/>
        <v>0</v>
      </c>
      <c r="BJ658" s="95">
        <f t="shared" si="380"/>
        <v>0.1680555555576575</v>
      </c>
      <c r="BK658" s="95">
        <f t="shared" si="381"/>
        <v>0.1680555555576575</v>
      </c>
      <c r="BL658" s="95">
        <f t="shared" si="382"/>
        <v>0.12638888889099084</v>
      </c>
      <c r="BM658" s="95">
        <f t="shared" si="383"/>
        <v>1.1805555560082809E-2</v>
      </c>
      <c r="BN658" s="110"/>
    </row>
    <row r="659" spans="1:66" s="8" customFormat="1" ht="12.75" customHeight="1" x14ac:dyDescent="0.25">
      <c r="A659" s="115">
        <v>599</v>
      </c>
      <c r="B659" s="115">
        <v>57</v>
      </c>
      <c r="C659" s="90">
        <v>6</v>
      </c>
      <c r="D659" s="115" t="s">
        <v>113</v>
      </c>
      <c r="E659" s="210" t="s">
        <v>799</v>
      </c>
      <c r="F659" s="115" t="s">
        <v>32</v>
      </c>
      <c r="G659" s="150" t="s">
        <v>15</v>
      </c>
      <c r="H659" s="115" t="s">
        <v>182</v>
      </c>
      <c r="I659" s="150" t="s">
        <v>869</v>
      </c>
      <c r="J659" s="151">
        <v>45557</v>
      </c>
      <c r="K659" s="116" t="s">
        <v>122</v>
      </c>
      <c r="L659" s="135">
        <v>261005995</v>
      </c>
      <c r="M659" s="151">
        <v>45557</v>
      </c>
      <c r="N659" s="118">
        <v>45557.583333333336</v>
      </c>
      <c r="O659" s="118">
        <v>45557.583333333336</v>
      </c>
      <c r="P659" s="118">
        <v>45557.586805555555</v>
      </c>
      <c r="Q659" s="118">
        <v>45557.791666666664</v>
      </c>
      <c r="R659" s="118" t="s">
        <v>118</v>
      </c>
      <c r="S659" s="118" t="s">
        <v>118</v>
      </c>
      <c r="T659" s="118">
        <v>45557.833333333336</v>
      </c>
      <c r="U659" s="118">
        <v>45557.955555555556</v>
      </c>
      <c r="V659" s="119">
        <f t="shared" si="375"/>
        <v>0.20833333332848269</v>
      </c>
      <c r="W659" s="185">
        <v>0.20833333333333334</v>
      </c>
      <c r="X659" s="119" t="str">
        <f t="shared" si="376"/>
        <v>00:00</v>
      </c>
      <c r="Y659" s="96">
        <v>0</v>
      </c>
      <c r="Z659" s="96">
        <v>17</v>
      </c>
      <c r="AA659" s="96">
        <f t="shared" si="334"/>
        <v>17</v>
      </c>
      <c r="AB659" s="97">
        <f t="shared" si="335"/>
        <v>0</v>
      </c>
      <c r="AC659" s="97">
        <f t="shared" si="336"/>
        <v>1133.54</v>
      </c>
      <c r="AD659" s="98">
        <v>1133.54</v>
      </c>
      <c r="AE659" s="98">
        <v>1178.9000000000001</v>
      </c>
      <c r="AF659" s="98">
        <v>1179</v>
      </c>
      <c r="AG659" s="98">
        <f t="shared" si="337"/>
        <v>45.460000000000036</v>
      </c>
      <c r="AH659" s="99">
        <v>1484</v>
      </c>
      <c r="AI659" s="100">
        <f t="shared" si="338"/>
        <v>1749636</v>
      </c>
      <c r="AJ659" s="100">
        <f>(0*AH659)*2</f>
        <v>0</v>
      </c>
      <c r="AK659" s="100">
        <v>0</v>
      </c>
      <c r="AL659" s="100">
        <v>0</v>
      </c>
      <c r="AM659" s="100">
        <v>0</v>
      </c>
      <c r="AN659" s="100">
        <v>0</v>
      </c>
      <c r="AO659" s="100">
        <v>0</v>
      </c>
      <c r="AP659" s="100">
        <f t="shared" si="364"/>
        <v>87482</v>
      </c>
      <c r="AQ659" s="101">
        <f t="shared" si="374"/>
        <v>1837118</v>
      </c>
      <c r="AR659" s="101">
        <v>0</v>
      </c>
      <c r="AS659" s="101">
        <v>0</v>
      </c>
      <c r="AT659" s="237" t="s">
        <v>34</v>
      </c>
      <c r="AU659" s="132" t="s">
        <v>118</v>
      </c>
      <c r="AV659" s="132">
        <v>0</v>
      </c>
      <c r="AW659" s="105">
        <v>0</v>
      </c>
      <c r="AX659" s="140">
        <f>IFERROR(((AG659+AG660)/(AF659+AF660))*100, "")</f>
        <v>2.7179849800058475</v>
      </c>
      <c r="AY659" s="141">
        <f>ROUNDUP((AG659+AG660)*AH659,0)</f>
        <v>165422</v>
      </c>
      <c r="AZ659" s="107"/>
      <c r="BA659" s="118">
        <v>45557.583333333336</v>
      </c>
      <c r="BB659" s="118">
        <v>45557.586805555555</v>
      </c>
      <c r="BC659" s="118">
        <v>45557.607638888891</v>
      </c>
      <c r="BD659" s="118">
        <v>45557.78402777778</v>
      </c>
      <c r="BE659" s="119">
        <f t="shared" si="379"/>
        <v>0.20069444444379769</v>
      </c>
      <c r="BF659" s="119">
        <v>9.0277777777777769E-3</v>
      </c>
      <c r="BG659" s="119">
        <v>4.2361111111111113E-2</v>
      </c>
      <c r="BH659" s="119">
        <f t="shared" si="380"/>
        <v>3.4722222189884633E-3</v>
      </c>
      <c r="BI659" s="119">
        <f t="shared" si="380"/>
        <v>2.0833333335758653E-2</v>
      </c>
      <c r="BJ659" s="119">
        <f t="shared" si="380"/>
        <v>0.17638888888905058</v>
      </c>
      <c r="BK659" s="119">
        <f t="shared" si="381"/>
        <v>0.19722222222480923</v>
      </c>
      <c r="BL659" s="119">
        <f t="shared" si="382"/>
        <v>0.14583333333592036</v>
      </c>
      <c r="BM659" s="119" t="str">
        <f t="shared" si="383"/>
        <v>00:00</v>
      </c>
      <c r="BN659" s="110" t="s">
        <v>870</v>
      </c>
    </row>
    <row r="660" spans="1:66" s="8" customFormat="1" ht="12.75" customHeight="1" x14ac:dyDescent="0.25">
      <c r="A660" s="122"/>
      <c r="B660" s="122"/>
      <c r="C660" s="90">
        <v>31</v>
      </c>
      <c r="D660" s="122"/>
      <c r="E660" s="210" t="s">
        <v>711</v>
      </c>
      <c r="F660" s="122"/>
      <c r="G660" s="150" t="s">
        <v>8</v>
      </c>
      <c r="H660" s="122"/>
      <c r="I660" s="150" t="s">
        <v>871</v>
      </c>
      <c r="J660" s="151">
        <v>45557</v>
      </c>
      <c r="K660" s="123"/>
      <c r="L660" s="135">
        <v>261005996</v>
      </c>
      <c r="M660" s="151">
        <v>45557</v>
      </c>
      <c r="N660" s="125"/>
      <c r="O660" s="125"/>
      <c r="P660" s="125"/>
      <c r="Q660" s="125"/>
      <c r="R660" s="125"/>
      <c r="S660" s="125"/>
      <c r="T660" s="125"/>
      <c r="U660" s="125"/>
      <c r="V660" s="126"/>
      <c r="W660" s="189"/>
      <c r="X660" s="126"/>
      <c r="Y660" s="96">
        <v>0</v>
      </c>
      <c r="Z660" s="96">
        <v>42</v>
      </c>
      <c r="AA660" s="96">
        <f t="shared" si="334"/>
        <v>42</v>
      </c>
      <c r="AB660" s="97">
        <f t="shared" si="335"/>
        <v>0</v>
      </c>
      <c r="AC660" s="97">
        <f t="shared" si="336"/>
        <v>2856.1900000000005</v>
      </c>
      <c r="AD660" s="98">
        <v>2856.19</v>
      </c>
      <c r="AE660" s="98">
        <v>2919</v>
      </c>
      <c r="AF660" s="98">
        <v>2922.2</v>
      </c>
      <c r="AG660" s="98">
        <f t="shared" si="337"/>
        <v>66.009999999999764</v>
      </c>
      <c r="AH660" s="99">
        <v>1484</v>
      </c>
      <c r="AI660" s="100">
        <f t="shared" si="338"/>
        <v>4336544.8</v>
      </c>
      <c r="AJ660" s="100">
        <f>(0*AH660)*2</f>
        <v>0</v>
      </c>
      <c r="AK660" s="100">
        <v>0</v>
      </c>
      <c r="AL660" s="100">
        <v>0</v>
      </c>
      <c r="AM660" s="100">
        <v>0</v>
      </c>
      <c r="AN660" s="100">
        <v>0</v>
      </c>
      <c r="AO660" s="100">
        <v>0</v>
      </c>
      <c r="AP660" s="100">
        <f t="shared" si="364"/>
        <v>216828</v>
      </c>
      <c r="AQ660" s="101">
        <f t="shared" si="374"/>
        <v>4553373</v>
      </c>
      <c r="AR660" s="101">
        <v>0</v>
      </c>
      <c r="AS660" s="101">
        <v>0</v>
      </c>
      <c r="AT660" s="237" t="s">
        <v>34</v>
      </c>
      <c r="AU660" s="134"/>
      <c r="AV660" s="134"/>
      <c r="AW660" s="105">
        <v>0</v>
      </c>
      <c r="AX660" s="144"/>
      <c r="AY660" s="145"/>
      <c r="AZ660" s="107"/>
      <c r="BA660" s="125"/>
      <c r="BB660" s="125"/>
      <c r="BC660" s="125"/>
      <c r="BD660" s="125"/>
      <c r="BE660" s="126"/>
      <c r="BF660" s="126"/>
      <c r="BG660" s="126"/>
      <c r="BH660" s="126"/>
      <c r="BI660" s="126"/>
      <c r="BJ660" s="126"/>
      <c r="BK660" s="126"/>
      <c r="BL660" s="126"/>
      <c r="BM660" s="126"/>
      <c r="BN660" s="110" t="s">
        <v>872</v>
      </c>
    </row>
    <row r="661" spans="1:66" s="8" customFormat="1" ht="12.75" customHeight="1" x14ac:dyDescent="0.25">
      <c r="A661" s="150">
        <v>600</v>
      </c>
      <c r="B661" s="150">
        <v>58</v>
      </c>
      <c r="C661" s="111">
        <v>9</v>
      </c>
      <c r="D661" s="111" t="s">
        <v>148</v>
      </c>
      <c r="E661" s="210" t="s">
        <v>840</v>
      </c>
      <c r="F661" s="150" t="s">
        <v>19</v>
      </c>
      <c r="G661" s="150" t="s">
        <v>17</v>
      </c>
      <c r="H661" s="150" t="s">
        <v>150</v>
      </c>
      <c r="I661" s="150" t="s">
        <v>873</v>
      </c>
      <c r="J661" s="151">
        <v>45554</v>
      </c>
      <c r="K661" s="135" t="s">
        <v>117</v>
      </c>
      <c r="L661" s="135">
        <v>461000478</v>
      </c>
      <c r="M661" s="151">
        <v>45558</v>
      </c>
      <c r="N661" s="152">
        <v>45557.822916666664</v>
      </c>
      <c r="O661" s="152">
        <v>45557.822916666664</v>
      </c>
      <c r="P661" s="152">
        <v>45557.847222222219</v>
      </c>
      <c r="Q661" s="152">
        <v>45558.03125</v>
      </c>
      <c r="R661" s="152" t="s">
        <v>118</v>
      </c>
      <c r="S661" s="152">
        <v>45558.065972222219</v>
      </c>
      <c r="T661" s="152">
        <v>45558.125</v>
      </c>
      <c r="U661" s="152">
        <v>45558.208333333336</v>
      </c>
      <c r="V661" s="219">
        <f t="shared" ref="V661:V691" si="385">+Q661-O661</f>
        <v>0.20833333333575865</v>
      </c>
      <c r="W661" s="203">
        <v>0.20833333333333334</v>
      </c>
      <c r="X661" s="219">
        <f t="shared" ref="X661:X691" si="386">IF(VALUE(V661)&lt;=VALUE("05:00"),"00:00",VALUE(V661)-VALUE("05:00"))</f>
        <v>2.4253099528692701E-12</v>
      </c>
      <c r="Y661" s="96">
        <v>0</v>
      </c>
      <c r="Z661" s="96">
        <v>59</v>
      </c>
      <c r="AA661" s="96">
        <f t="shared" si="334"/>
        <v>59</v>
      </c>
      <c r="AB661" s="97">
        <f t="shared" si="335"/>
        <v>0</v>
      </c>
      <c r="AC661" s="97">
        <f t="shared" si="336"/>
        <v>4057.37</v>
      </c>
      <c r="AD661" s="98">
        <v>4057.37</v>
      </c>
      <c r="AE661" s="98">
        <v>4103.8</v>
      </c>
      <c r="AF661" s="98">
        <v>4109.8</v>
      </c>
      <c r="AG661" s="98">
        <f t="shared" si="337"/>
        <v>52.430000000000291</v>
      </c>
      <c r="AH661" s="99">
        <v>672.5</v>
      </c>
      <c r="AI661" s="100">
        <f t="shared" si="338"/>
        <v>2763840.5</v>
      </c>
      <c r="AJ661" s="100">
        <f>(0*AH661)*2</f>
        <v>0</v>
      </c>
      <c r="AK661" s="100">
        <v>0</v>
      </c>
      <c r="AL661" s="100">
        <v>24290</v>
      </c>
      <c r="AM661" s="100">
        <v>0</v>
      </c>
      <c r="AN661" s="100">
        <v>0</v>
      </c>
      <c r="AO661" s="100">
        <v>0</v>
      </c>
      <c r="AP661" s="100">
        <f t="shared" si="364"/>
        <v>139407</v>
      </c>
      <c r="AQ661" s="101">
        <f t="shared" si="374"/>
        <v>2927538</v>
      </c>
      <c r="AR661" s="101">
        <v>0</v>
      </c>
      <c r="AS661" s="101">
        <v>0</v>
      </c>
      <c r="AT661" s="237" t="s">
        <v>33</v>
      </c>
      <c r="AU661" s="109">
        <v>1</v>
      </c>
      <c r="AV661" s="100">
        <f>6.48-5.48</f>
        <v>1</v>
      </c>
      <c r="AW661" s="105">
        <v>1</v>
      </c>
      <c r="AX661" s="216">
        <f t="shared" ref="AX661:AX690" si="387">IFERROR((AG661/AF661)*100, "")</f>
        <v>1.2757311791328116</v>
      </c>
      <c r="AY661" s="217">
        <f t="shared" ref="AY661:AY690" si="388">ROUNDUP(AG661*AH661,0)</f>
        <v>35260</v>
      </c>
      <c r="AZ661" s="107"/>
      <c r="BA661" s="94">
        <v>45557.822916666664</v>
      </c>
      <c r="BB661" s="94">
        <v>45557.847222222219</v>
      </c>
      <c r="BC661" s="94">
        <v>45557.873611111114</v>
      </c>
      <c r="BD661" s="94">
        <v>45558.059027777781</v>
      </c>
      <c r="BE661" s="95">
        <f t="shared" ref="BE661:BE691" si="389">+BD661-BA661</f>
        <v>0.23611111111677019</v>
      </c>
      <c r="BF661" s="95">
        <v>1.2500000000000001E-2</v>
      </c>
      <c r="BG661" s="95">
        <v>2.361111111111111E-2</v>
      </c>
      <c r="BH661" s="95">
        <f t="shared" ref="BH661:BJ691" si="390">+BB661-BA661</f>
        <v>2.4305555554747116E-2</v>
      </c>
      <c r="BI661" s="95">
        <f t="shared" si="390"/>
        <v>2.6388888894871343E-2</v>
      </c>
      <c r="BJ661" s="95">
        <f t="shared" si="390"/>
        <v>0.18541666666715173</v>
      </c>
      <c r="BK661" s="95">
        <f t="shared" ref="BK661:BK691" si="391">+BI661+BJ661</f>
        <v>0.21180555556202307</v>
      </c>
      <c r="BL661" s="95">
        <f t="shared" ref="BL661:BL691" si="392">+BE661-BH661-BF661-BG661</f>
        <v>0.17569444445091195</v>
      </c>
      <c r="BM661" s="95">
        <f t="shared" ref="BM661:BM691" si="393">IF(VALUE(BE661)&lt;=VALUE("05:00"),"00:00",VALUE(BE661)-VALUE("05:00"))</f>
        <v>2.7777777783436847E-2</v>
      </c>
      <c r="BN661" s="110"/>
    </row>
    <row r="662" spans="1:66" s="8" customFormat="1" ht="12.75" customHeight="1" x14ac:dyDescent="0.25">
      <c r="A662" s="150">
        <v>601</v>
      </c>
      <c r="B662" s="150">
        <v>59</v>
      </c>
      <c r="C662" s="111">
        <v>3</v>
      </c>
      <c r="D662" s="111" t="s">
        <v>113</v>
      </c>
      <c r="E662" s="210" t="s">
        <v>863</v>
      </c>
      <c r="F662" s="150" t="s">
        <v>32</v>
      </c>
      <c r="G662" s="150" t="s">
        <v>8</v>
      </c>
      <c r="H662" s="150" t="s">
        <v>120</v>
      </c>
      <c r="I662" s="150" t="s">
        <v>874</v>
      </c>
      <c r="J662" s="151">
        <v>45558</v>
      </c>
      <c r="K662" s="135" t="s">
        <v>122</v>
      </c>
      <c r="L662" s="135">
        <v>261006001</v>
      </c>
      <c r="M662" s="151">
        <v>45558</v>
      </c>
      <c r="N662" s="152">
        <v>45558.041666666664</v>
      </c>
      <c r="O662" s="152">
        <v>45558.041666666664</v>
      </c>
      <c r="P662" s="152">
        <v>45558.048611111109</v>
      </c>
      <c r="Q662" s="152">
        <v>45558.25</v>
      </c>
      <c r="R662" s="152" t="s">
        <v>118</v>
      </c>
      <c r="S662" s="152" t="s">
        <v>118</v>
      </c>
      <c r="T662" s="152">
        <v>45558.270833333336</v>
      </c>
      <c r="U662" s="152">
        <v>45558.413194444445</v>
      </c>
      <c r="V662" s="219">
        <f t="shared" si="385"/>
        <v>0.20833333333575865</v>
      </c>
      <c r="W662" s="203">
        <v>0.20833333333333334</v>
      </c>
      <c r="X662" s="219">
        <f t="shared" si="386"/>
        <v>2.4253099528692701E-12</v>
      </c>
      <c r="Y662" s="96">
        <v>0</v>
      </c>
      <c r="Z662" s="96">
        <v>59</v>
      </c>
      <c r="AA662" s="96">
        <f t="shared" si="334"/>
        <v>59</v>
      </c>
      <c r="AB662" s="97">
        <f t="shared" si="335"/>
        <v>0</v>
      </c>
      <c r="AC662" s="97">
        <f t="shared" si="336"/>
        <v>3980.2399999999993</v>
      </c>
      <c r="AD662" s="98">
        <v>3980.24</v>
      </c>
      <c r="AE662" s="98">
        <v>4102.3999999999996</v>
      </c>
      <c r="AF662" s="98">
        <v>4103.6000000000004</v>
      </c>
      <c r="AG662" s="98">
        <f t="shared" si="337"/>
        <v>123.36000000000058</v>
      </c>
      <c r="AH662" s="99">
        <v>1398.7</v>
      </c>
      <c r="AI662" s="100">
        <f t="shared" si="338"/>
        <v>5739705.3200000003</v>
      </c>
      <c r="AJ662" s="100">
        <f>(0*AH662)*2</f>
        <v>0</v>
      </c>
      <c r="AK662" s="100">
        <v>0</v>
      </c>
      <c r="AL662" s="100">
        <v>24290</v>
      </c>
      <c r="AM662" s="100">
        <v>0</v>
      </c>
      <c r="AN662" s="100">
        <v>0</v>
      </c>
      <c r="AO662" s="100">
        <v>0</v>
      </c>
      <c r="AP662" s="100">
        <f t="shared" si="364"/>
        <v>288200</v>
      </c>
      <c r="AQ662" s="101">
        <f t="shared" si="374"/>
        <v>6052196</v>
      </c>
      <c r="AR662" s="101">
        <v>0</v>
      </c>
      <c r="AS662" s="101">
        <v>0</v>
      </c>
      <c r="AT662" s="237" t="s">
        <v>33</v>
      </c>
      <c r="AU662" s="109">
        <v>1</v>
      </c>
      <c r="AV662" s="100">
        <f>1.8-0.8</f>
        <v>1</v>
      </c>
      <c r="AW662" s="105">
        <v>0</v>
      </c>
      <c r="AX662" s="216">
        <f t="shared" si="387"/>
        <v>3.0061409494102875</v>
      </c>
      <c r="AY662" s="217">
        <f t="shared" si="388"/>
        <v>172544</v>
      </c>
      <c r="AZ662" s="107"/>
      <c r="BA662" s="94">
        <v>45558.041666666664</v>
      </c>
      <c r="BB662" s="94">
        <v>45558.048611111109</v>
      </c>
      <c r="BC662" s="94">
        <v>45558.102777777778</v>
      </c>
      <c r="BD662" s="94">
        <v>45558.254166666666</v>
      </c>
      <c r="BE662" s="95">
        <f t="shared" si="389"/>
        <v>0.21250000000145519</v>
      </c>
      <c r="BF662" s="95">
        <v>1.9444444444444445E-2</v>
      </c>
      <c r="BG662" s="95">
        <v>3.4722222222222224E-2</v>
      </c>
      <c r="BH662" s="95">
        <f t="shared" si="390"/>
        <v>6.9444444452528842E-3</v>
      </c>
      <c r="BI662" s="95">
        <f t="shared" si="390"/>
        <v>5.4166666668606922E-2</v>
      </c>
      <c r="BJ662" s="95">
        <f t="shared" si="390"/>
        <v>0.15138888888759539</v>
      </c>
      <c r="BK662" s="95">
        <f t="shared" si="391"/>
        <v>0.20555555555620231</v>
      </c>
      <c r="BL662" s="95">
        <f t="shared" si="392"/>
        <v>0.15138888888953567</v>
      </c>
      <c r="BM662" s="95">
        <f t="shared" si="393"/>
        <v>4.1666666681218489E-3</v>
      </c>
      <c r="BN662" s="110"/>
    </row>
    <row r="663" spans="1:66" s="8" customFormat="1" ht="12.75" customHeight="1" x14ac:dyDescent="0.25">
      <c r="A663" s="150">
        <v>602</v>
      </c>
      <c r="B663" s="150">
        <v>60</v>
      </c>
      <c r="C663" s="90">
        <v>7</v>
      </c>
      <c r="D663" s="111" t="s">
        <v>113</v>
      </c>
      <c r="E663" s="210" t="s">
        <v>799</v>
      </c>
      <c r="F663" s="150" t="s">
        <v>32</v>
      </c>
      <c r="G663" s="150" t="s">
        <v>15</v>
      </c>
      <c r="H663" s="150" t="s">
        <v>182</v>
      </c>
      <c r="I663" s="150" t="s">
        <v>875</v>
      </c>
      <c r="J663" s="151">
        <v>45558</v>
      </c>
      <c r="K663" s="135" t="s">
        <v>117</v>
      </c>
      <c r="L663" s="135">
        <v>261006002</v>
      </c>
      <c r="M663" s="151">
        <v>45558</v>
      </c>
      <c r="N663" s="152">
        <v>45558.302083333336</v>
      </c>
      <c r="O663" s="152">
        <v>45558.302083333336</v>
      </c>
      <c r="P663" s="152">
        <v>45558.305555555555</v>
      </c>
      <c r="Q663" s="152">
        <v>45558.510416666664</v>
      </c>
      <c r="R663" s="152" t="s">
        <v>118</v>
      </c>
      <c r="S663" s="152" t="s">
        <v>118</v>
      </c>
      <c r="T663" s="152">
        <v>45558.625</v>
      </c>
      <c r="U663" s="152">
        <v>45558.693055555559</v>
      </c>
      <c r="V663" s="219">
        <f t="shared" si="385"/>
        <v>0.20833333332848269</v>
      </c>
      <c r="W663" s="203">
        <v>0.20833333333333334</v>
      </c>
      <c r="X663" s="219" t="str">
        <f t="shared" si="386"/>
        <v>00:00</v>
      </c>
      <c r="Y663" s="96">
        <v>0</v>
      </c>
      <c r="Z663" s="96">
        <v>58</v>
      </c>
      <c r="AA663" s="96">
        <f t="shared" si="334"/>
        <v>58</v>
      </c>
      <c r="AB663" s="97">
        <f t="shared" si="335"/>
        <v>0</v>
      </c>
      <c r="AC663" s="97">
        <f t="shared" si="336"/>
        <v>4026.61</v>
      </c>
      <c r="AD663" s="98">
        <v>4026.61</v>
      </c>
      <c r="AE663" s="98">
        <v>4052.2</v>
      </c>
      <c r="AF663" s="98">
        <v>4059.6</v>
      </c>
      <c r="AG663" s="98">
        <f t="shared" si="337"/>
        <v>32.989999999999782</v>
      </c>
      <c r="AH663" s="99">
        <v>1484</v>
      </c>
      <c r="AI663" s="100">
        <f t="shared" si="338"/>
        <v>6024446.3999999994</v>
      </c>
      <c r="AJ663" s="100">
        <f>(0.2*AH663)*2</f>
        <v>593.6</v>
      </c>
      <c r="AK663" s="100">
        <v>0</v>
      </c>
      <c r="AL663" s="100">
        <v>0</v>
      </c>
      <c r="AM663" s="100">
        <v>0</v>
      </c>
      <c r="AN663" s="100">
        <v>0</v>
      </c>
      <c r="AO663" s="100">
        <v>0</v>
      </c>
      <c r="AP663" s="100">
        <f t="shared" si="364"/>
        <v>301252</v>
      </c>
      <c r="AQ663" s="101">
        <f t="shared" si="374"/>
        <v>6326292</v>
      </c>
      <c r="AR663" s="101">
        <v>0</v>
      </c>
      <c r="AS663" s="101">
        <v>0</v>
      </c>
      <c r="AT663" s="237" t="s">
        <v>34</v>
      </c>
      <c r="AU663" s="109" t="s">
        <v>118</v>
      </c>
      <c r="AV663" s="100">
        <v>0</v>
      </c>
      <c r="AW663" s="105">
        <v>0</v>
      </c>
      <c r="AX663" s="216">
        <f t="shared" si="387"/>
        <v>0.8126416395703957</v>
      </c>
      <c r="AY663" s="217">
        <f t="shared" si="388"/>
        <v>48958</v>
      </c>
      <c r="AZ663" s="107"/>
      <c r="BA663" s="94">
        <v>45558.302083333336</v>
      </c>
      <c r="BB663" s="94">
        <v>45558.305555555555</v>
      </c>
      <c r="BC663" s="94">
        <v>45558.309027777781</v>
      </c>
      <c r="BD663" s="94">
        <v>45558.473611111112</v>
      </c>
      <c r="BE663" s="95">
        <f t="shared" si="389"/>
        <v>0.17152777777664596</v>
      </c>
      <c r="BF663" s="95">
        <v>1.0416666666666666E-2</v>
      </c>
      <c r="BG663" s="95">
        <v>4.027777777777778E-2</v>
      </c>
      <c r="BH663" s="95">
        <f t="shared" si="390"/>
        <v>3.4722222189884633E-3</v>
      </c>
      <c r="BI663" s="95">
        <f t="shared" si="390"/>
        <v>3.4722222262644209E-3</v>
      </c>
      <c r="BJ663" s="95">
        <f t="shared" si="390"/>
        <v>0.16458333333139308</v>
      </c>
      <c r="BK663" s="95">
        <f t="shared" si="391"/>
        <v>0.1680555555576575</v>
      </c>
      <c r="BL663" s="95">
        <f t="shared" si="392"/>
        <v>0.11736111111321307</v>
      </c>
      <c r="BM663" s="95" t="str">
        <f t="shared" si="393"/>
        <v>00:00</v>
      </c>
      <c r="BN663" s="110"/>
    </row>
    <row r="664" spans="1:66" s="8" customFormat="1" ht="12.75" customHeight="1" x14ac:dyDescent="0.25">
      <c r="A664" s="150">
        <v>603</v>
      </c>
      <c r="B664" s="150">
        <v>61</v>
      </c>
      <c r="C664" s="90">
        <v>14</v>
      </c>
      <c r="D664" s="111" t="s">
        <v>113</v>
      </c>
      <c r="E664" s="210" t="s">
        <v>759</v>
      </c>
      <c r="F664" s="150" t="s">
        <v>29</v>
      </c>
      <c r="G664" s="150" t="s">
        <v>8</v>
      </c>
      <c r="H664" s="150" t="s">
        <v>124</v>
      </c>
      <c r="I664" s="150" t="s">
        <v>876</v>
      </c>
      <c r="J664" s="151">
        <v>45558</v>
      </c>
      <c r="K664" s="135" t="s">
        <v>122</v>
      </c>
      <c r="L664" s="135">
        <v>461000479</v>
      </c>
      <c r="M664" s="151">
        <v>45559</v>
      </c>
      <c r="N664" s="152">
        <v>45558.604166666664</v>
      </c>
      <c r="O664" s="152">
        <v>45558.604166666664</v>
      </c>
      <c r="P664" s="152">
        <v>45558.614583333336</v>
      </c>
      <c r="Q664" s="152">
        <v>45558.802083333336</v>
      </c>
      <c r="R664" s="152" t="s">
        <v>118</v>
      </c>
      <c r="S664" s="152" t="s">
        <v>118</v>
      </c>
      <c r="T664" s="152">
        <v>45558.944444444445</v>
      </c>
      <c r="U664" s="152">
        <v>45559.048611111109</v>
      </c>
      <c r="V664" s="219">
        <f t="shared" si="385"/>
        <v>0.19791666667151731</v>
      </c>
      <c r="W664" s="203">
        <v>0.20833333333333334</v>
      </c>
      <c r="X664" s="219" t="str">
        <f t="shared" si="386"/>
        <v>00:00</v>
      </c>
      <c r="Y664" s="96">
        <v>0</v>
      </c>
      <c r="Z664" s="96">
        <v>59</v>
      </c>
      <c r="AA664" s="96">
        <f t="shared" si="334"/>
        <v>59</v>
      </c>
      <c r="AB664" s="97">
        <f t="shared" si="335"/>
        <v>0</v>
      </c>
      <c r="AC664" s="97">
        <f t="shared" si="336"/>
        <v>4043.0700000000006</v>
      </c>
      <c r="AD664" s="98">
        <v>4043.07</v>
      </c>
      <c r="AE664" s="98">
        <v>4096.6000000000004</v>
      </c>
      <c r="AF664" s="98">
        <v>4102.2</v>
      </c>
      <c r="AG664" s="98">
        <f t="shared" si="337"/>
        <v>59.129999999999654</v>
      </c>
      <c r="AH664" s="99">
        <v>797.2</v>
      </c>
      <c r="AI664" s="100">
        <f t="shared" si="338"/>
        <v>3270273.84</v>
      </c>
      <c r="AJ664" s="100">
        <f t="shared" ref="AJ664:AJ670" si="394">(0*AH664)*2</f>
        <v>0</v>
      </c>
      <c r="AK664" s="100">
        <v>0</v>
      </c>
      <c r="AL664" s="100">
        <v>24290</v>
      </c>
      <c r="AM664" s="100">
        <v>0</v>
      </c>
      <c r="AN664" s="100">
        <v>0</v>
      </c>
      <c r="AO664" s="100">
        <v>0</v>
      </c>
      <c r="AP664" s="100">
        <f t="shared" si="364"/>
        <v>164729</v>
      </c>
      <c r="AQ664" s="101">
        <f t="shared" si="374"/>
        <v>3459293</v>
      </c>
      <c r="AR664" s="101">
        <v>0</v>
      </c>
      <c r="AS664" s="101">
        <v>0</v>
      </c>
      <c r="AT664" s="237" t="s">
        <v>33</v>
      </c>
      <c r="AU664" s="109">
        <v>2</v>
      </c>
      <c r="AV664" s="100">
        <f>7.4-5.4</f>
        <v>2</v>
      </c>
      <c r="AW664" s="105">
        <v>0</v>
      </c>
      <c r="AX664" s="216">
        <f t="shared" si="387"/>
        <v>1.4414216761737522</v>
      </c>
      <c r="AY664" s="217">
        <f t="shared" si="388"/>
        <v>47139</v>
      </c>
      <c r="AZ664" s="107"/>
      <c r="BA664" s="94">
        <v>45558.604166666664</v>
      </c>
      <c r="BB664" s="94">
        <v>45558.614583333336</v>
      </c>
      <c r="BC664" s="94">
        <v>45558.614583333336</v>
      </c>
      <c r="BD664" s="94">
        <v>45558.750694444447</v>
      </c>
      <c r="BE664" s="95">
        <f t="shared" si="389"/>
        <v>0.14652777778246673</v>
      </c>
      <c r="BF664" s="95">
        <v>0</v>
      </c>
      <c r="BG664" s="95">
        <v>0</v>
      </c>
      <c r="BH664" s="95">
        <f t="shared" si="390"/>
        <v>1.0416666671517305E-2</v>
      </c>
      <c r="BI664" s="95">
        <f t="shared" si="390"/>
        <v>0</v>
      </c>
      <c r="BJ664" s="95">
        <f t="shared" si="390"/>
        <v>0.13611111111094942</v>
      </c>
      <c r="BK664" s="95">
        <f t="shared" si="391"/>
        <v>0.13611111111094942</v>
      </c>
      <c r="BL664" s="95">
        <f t="shared" si="392"/>
        <v>0.13611111111094942</v>
      </c>
      <c r="BM664" s="95" t="str">
        <f t="shared" si="393"/>
        <v>00:00</v>
      </c>
      <c r="BN664" s="110"/>
    </row>
    <row r="665" spans="1:66" s="8" customFormat="1" ht="12.75" customHeight="1" x14ac:dyDescent="0.25">
      <c r="A665" s="150">
        <v>604</v>
      </c>
      <c r="B665" s="150">
        <v>62</v>
      </c>
      <c r="C665" s="90">
        <v>10</v>
      </c>
      <c r="D665" s="111" t="s">
        <v>148</v>
      </c>
      <c r="E665" s="210" t="s">
        <v>840</v>
      </c>
      <c r="F665" s="150" t="s">
        <v>19</v>
      </c>
      <c r="G665" s="150" t="s">
        <v>17</v>
      </c>
      <c r="H665" s="150" t="s">
        <v>150</v>
      </c>
      <c r="I665" s="150" t="s">
        <v>877</v>
      </c>
      <c r="J665" s="151">
        <v>45555</v>
      </c>
      <c r="K665" s="135" t="s">
        <v>117</v>
      </c>
      <c r="L665" s="135">
        <v>461000480</v>
      </c>
      <c r="M665" s="151">
        <v>45559</v>
      </c>
      <c r="N665" s="152">
        <v>45558.989583333336</v>
      </c>
      <c r="O665" s="152">
        <v>45558.989583333336</v>
      </c>
      <c r="P665" s="152">
        <v>45559.010416666664</v>
      </c>
      <c r="Q665" s="152">
        <v>45559.197916666664</v>
      </c>
      <c r="R665" s="152" t="s">
        <v>118</v>
      </c>
      <c r="S665" s="152">
        <v>45559.260416666664</v>
      </c>
      <c r="T665" s="152">
        <v>45559.28125</v>
      </c>
      <c r="U665" s="152">
        <v>45559.409722222219</v>
      </c>
      <c r="V665" s="219">
        <f t="shared" si="385"/>
        <v>0.20833333332848269</v>
      </c>
      <c r="W665" s="203">
        <v>0.20833333333333334</v>
      </c>
      <c r="X665" s="219" t="str">
        <f t="shared" si="386"/>
        <v>00:00</v>
      </c>
      <c r="Y665" s="96">
        <v>4</v>
      </c>
      <c r="Z665" s="96">
        <v>53</v>
      </c>
      <c r="AA665" s="96">
        <f t="shared" ref="AA665:AA728" si="395">+Y665+Z665</f>
        <v>57</v>
      </c>
      <c r="AB665" s="97">
        <f t="shared" ref="AB665:AB728" si="396">+AD665/AA665*Y665</f>
        <v>269.66245614035086</v>
      </c>
      <c r="AC665" s="97">
        <f t="shared" ref="AC665:AC728" si="397">+AD665/AA665*Z665</f>
        <v>3573.0275438596486</v>
      </c>
      <c r="AD665" s="98">
        <v>3842.69</v>
      </c>
      <c r="AE665" s="98">
        <v>3968.4</v>
      </c>
      <c r="AF665" s="98">
        <v>3975.6</v>
      </c>
      <c r="AG665" s="98">
        <f t="shared" ref="AG665:AG728" si="398">+AF665-AD665</f>
        <v>132.90999999999985</v>
      </c>
      <c r="AH665" s="99">
        <v>672.5</v>
      </c>
      <c r="AI665" s="100">
        <f t="shared" ref="AI665:AI728" si="399">+AF665*AH665</f>
        <v>2673591</v>
      </c>
      <c r="AJ665" s="100">
        <f t="shared" si="394"/>
        <v>0</v>
      </c>
      <c r="AK665" s="100">
        <v>0</v>
      </c>
      <c r="AL665" s="100">
        <v>23990</v>
      </c>
      <c r="AM665" s="100">
        <v>0</v>
      </c>
      <c r="AN665" s="100">
        <v>0</v>
      </c>
      <c r="AO665" s="100">
        <v>0</v>
      </c>
      <c r="AP665" s="100">
        <f t="shared" si="364"/>
        <v>134880</v>
      </c>
      <c r="AQ665" s="101">
        <f t="shared" si="374"/>
        <v>2832461</v>
      </c>
      <c r="AR665" s="101">
        <v>0</v>
      </c>
      <c r="AS665" s="101">
        <v>0</v>
      </c>
      <c r="AT665" s="237" t="s">
        <v>34</v>
      </c>
      <c r="AU665" s="109">
        <v>5</v>
      </c>
      <c r="AV665" s="100">
        <f>20.6-6.1</f>
        <v>14.500000000000002</v>
      </c>
      <c r="AW665" s="105">
        <v>2</v>
      </c>
      <c r="AX665" s="216">
        <f t="shared" si="387"/>
        <v>3.3431431733574768</v>
      </c>
      <c r="AY665" s="217">
        <f t="shared" si="388"/>
        <v>89382</v>
      </c>
      <c r="AZ665" s="107"/>
      <c r="BA665" s="94">
        <v>45558.989583333336</v>
      </c>
      <c r="BB665" s="94">
        <v>45559.010416666664</v>
      </c>
      <c r="BC665" s="94">
        <v>45559.010416666664</v>
      </c>
      <c r="BD665" s="94">
        <v>45559.244444444441</v>
      </c>
      <c r="BE665" s="95">
        <f t="shared" si="389"/>
        <v>0.25486111110512866</v>
      </c>
      <c r="BF665" s="95">
        <v>2.7083333333333334E-2</v>
      </c>
      <c r="BG665" s="95">
        <v>4.2361111111111113E-2</v>
      </c>
      <c r="BH665" s="95">
        <f t="shared" si="390"/>
        <v>2.0833333328482695E-2</v>
      </c>
      <c r="BI665" s="95">
        <f t="shared" si="390"/>
        <v>0</v>
      </c>
      <c r="BJ665" s="95">
        <f t="shared" si="390"/>
        <v>0.23402777777664596</v>
      </c>
      <c r="BK665" s="95">
        <f t="shared" si="391"/>
        <v>0.23402777777664596</v>
      </c>
      <c r="BL665" s="95">
        <f t="shared" si="392"/>
        <v>0.16458333333220149</v>
      </c>
      <c r="BM665" s="95">
        <f t="shared" si="393"/>
        <v>4.6527777771795314E-2</v>
      </c>
      <c r="BN665" s="110"/>
    </row>
    <row r="666" spans="1:66" s="8" customFormat="1" ht="12.75" customHeight="1" x14ac:dyDescent="0.25">
      <c r="A666" s="150">
        <v>605</v>
      </c>
      <c r="B666" s="150">
        <v>63</v>
      </c>
      <c r="C666" s="90">
        <v>4</v>
      </c>
      <c r="D666" s="111" t="s">
        <v>113</v>
      </c>
      <c r="E666" s="210" t="s">
        <v>863</v>
      </c>
      <c r="F666" s="150" t="s">
        <v>32</v>
      </c>
      <c r="G666" s="150" t="s">
        <v>8</v>
      </c>
      <c r="H666" s="150" t="s">
        <v>779</v>
      </c>
      <c r="I666" s="150" t="s">
        <v>878</v>
      </c>
      <c r="J666" s="151">
        <v>45559</v>
      </c>
      <c r="K666" s="135" t="s">
        <v>122</v>
      </c>
      <c r="L666" s="135">
        <v>281000243</v>
      </c>
      <c r="M666" s="151">
        <v>45559</v>
      </c>
      <c r="N666" s="152">
        <v>45559.253472222219</v>
      </c>
      <c r="O666" s="152">
        <v>45559.253472222219</v>
      </c>
      <c r="P666" s="152">
        <v>45559.256944444445</v>
      </c>
      <c r="Q666" s="152">
        <v>45559.458333333336</v>
      </c>
      <c r="R666" s="152" t="s">
        <v>118</v>
      </c>
      <c r="S666" s="152" t="s">
        <v>118</v>
      </c>
      <c r="T666" s="152">
        <v>45559.479166666664</v>
      </c>
      <c r="U666" s="152">
        <v>45559.659722222219</v>
      </c>
      <c r="V666" s="219">
        <f t="shared" si="385"/>
        <v>0.20486111111677019</v>
      </c>
      <c r="W666" s="203">
        <v>0.20833333333333334</v>
      </c>
      <c r="X666" s="219" t="str">
        <f t="shared" si="386"/>
        <v>00:00</v>
      </c>
      <c r="Y666" s="96">
        <v>0</v>
      </c>
      <c r="Z666" s="96">
        <v>59</v>
      </c>
      <c r="AA666" s="96">
        <f t="shared" si="395"/>
        <v>59</v>
      </c>
      <c r="AB666" s="97">
        <f t="shared" si="396"/>
        <v>0</v>
      </c>
      <c r="AC666" s="97">
        <f t="shared" si="397"/>
        <v>4067.18</v>
      </c>
      <c r="AD666" s="98">
        <v>4067.18</v>
      </c>
      <c r="AE666" s="98">
        <v>4091.4</v>
      </c>
      <c r="AF666" s="98">
        <v>4109</v>
      </c>
      <c r="AG666" s="98">
        <f t="shared" si="398"/>
        <v>41.820000000000164</v>
      </c>
      <c r="AH666" s="99">
        <v>1435.6</v>
      </c>
      <c r="AI666" s="100">
        <f t="shared" si="399"/>
        <v>5898880.3999999994</v>
      </c>
      <c r="AJ666" s="100">
        <f t="shared" si="394"/>
        <v>0</v>
      </c>
      <c r="AK666" s="100">
        <v>0</v>
      </c>
      <c r="AL666" s="100">
        <v>24290</v>
      </c>
      <c r="AM666" s="100">
        <v>0</v>
      </c>
      <c r="AN666" s="100">
        <v>0</v>
      </c>
      <c r="AO666" s="100">
        <v>0</v>
      </c>
      <c r="AP666" s="100">
        <f t="shared" si="364"/>
        <v>296159</v>
      </c>
      <c r="AQ666" s="101">
        <f t="shared" si="374"/>
        <v>6219330</v>
      </c>
      <c r="AR666" s="101">
        <v>0</v>
      </c>
      <c r="AS666" s="101">
        <v>0</v>
      </c>
      <c r="AT666" s="237" t="s">
        <v>34</v>
      </c>
      <c r="AU666" s="109">
        <v>11</v>
      </c>
      <c r="AV666" s="100">
        <f>26.77-14.77</f>
        <v>12</v>
      </c>
      <c r="AW666" s="105">
        <v>0</v>
      </c>
      <c r="AX666" s="216">
        <f t="shared" si="387"/>
        <v>1.0177658797761053</v>
      </c>
      <c r="AY666" s="217">
        <f t="shared" si="388"/>
        <v>60037</v>
      </c>
      <c r="AZ666" s="107"/>
      <c r="BA666" s="94">
        <v>45559.253472222219</v>
      </c>
      <c r="BB666" s="94">
        <v>45559.256944444445</v>
      </c>
      <c r="BC666" s="94">
        <v>45559.267361111109</v>
      </c>
      <c r="BD666" s="94">
        <v>45559.436805555553</v>
      </c>
      <c r="BE666" s="95">
        <f t="shared" si="389"/>
        <v>0.18333333333430346</v>
      </c>
      <c r="BF666" s="95">
        <v>4.8611111111111112E-3</v>
      </c>
      <c r="BG666" s="95">
        <v>1.3888888888888888E-2</v>
      </c>
      <c r="BH666" s="95">
        <f t="shared" si="390"/>
        <v>3.4722222262644209E-3</v>
      </c>
      <c r="BI666" s="95">
        <f t="shared" si="390"/>
        <v>1.0416666664241347E-2</v>
      </c>
      <c r="BJ666" s="95">
        <f t="shared" si="390"/>
        <v>0.16944444444379769</v>
      </c>
      <c r="BK666" s="95">
        <f t="shared" si="391"/>
        <v>0.17986111110803904</v>
      </c>
      <c r="BL666" s="95">
        <f t="shared" si="392"/>
        <v>0.16111111110803902</v>
      </c>
      <c r="BM666" s="95" t="str">
        <f t="shared" si="393"/>
        <v>00:00</v>
      </c>
      <c r="BN666" s="110"/>
    </row>
    <row r="667" spans="1:66" s="8" customFormat="1" ht="12.75" customHeight="1" x14ac:dyDescent="0.25">
      <c r="A667" s="150">
        <v>606</v>
      </c>
      <c r="B667" s="150">
        <v>64</v>
      </c>
      <c r="C667" s="90">
        <v>7</v>
      </c>
      <c r="D667" s="111" t="s">
        <v>113</v>
      </c>
      <c r="E667" s="210" t="s">
        <v>771</v>
      </c>
      <c r="F667" s="150" t="s">
        <v>27</v>
      </c>
      <c r="G667" s="150" t="s">
        <v>12</v>
      </c>
      <c r="H667" s="150" t="s">
        <v>115</v>
      </c>
      <c r="I667" s="150" t="s">
        <v>879</v>
      </c>
      <c r="J667" s="151">
        <v>45559</v>
      </c>
      <c r="K667" s="135" t="s">
        <v>117</v>
      </c>
      <c r="L667" s="135">
        <v>282001026</v>
      </c>
      <c r="M667" s="151">
        <v>45560</v>
      </c>
      <c r="N667" s="152">
        <v>45559.625</v>
      </c>
      <c r="O667" s="152">
        <v>45559.625</v>
      </c>
      <c r="P667" s="152">
        <v>45559.663194444445</v>
      </c>
      <c r="Q667" s="152">
        <v>45559.833333333336</v>
      </c>
      <c r="R667" s="152" t="s">
        <v>118</v>
      </c>
      <c r="S667" s="152" t="s">
        <v>118</v>
      </c>
      <c r="T667" s="152">
        <v>45559.938194444447</v>
      </c>
      <c r="U667" s="152">
        <v>45560.068055555559</v>
      </c>
      <c r="V667" s="219">
        <f t="shared" si="385"/>
        <v>0.20833333333575865</v>
      </c>
      <c r="W667" s="203">
        <v>0.20833333333333334</v>
      </c>
      <c r="X667" s="219">
        <f t="shared" si="386"/>
        <v>2.4253099528692701E-12</v>
      </c>
      <c r="Y667" s="96">
        <v>0</v>
      </c>
      <c r="Z667" s="96">
        <v>58</v>
      </c>
      <c r="AA667" s="96">
        <f t="shared" si="395"/>
        <v>58</v>
      </c>
      <c r="AB667" s="97">
        <f t="shared" si="396"/>
        <v>0</v>
      </c>
      <c r="AC667" s="97">
        <f t="shared" si="397"/>
        <v>4052.48</v>
      </c>
      <c r="AD667" s="98">
        <v>4052.48</v>
      </c>
      <c r="AE667" s="98">
        <v>4042.5</v>
      </c>
      <c r="AF667" s="98">
        <v>4070.2</v>
      </c>
      <c r="AG667" s="98">
        <f t="shared" si="398"/>
        <v>17.7199999999998</v>
      </c>
      <c r="AH667" s="99">
        <v>1586.7</v>
      </c>
      <c r="AI667" s="100">
        <f t="shared" si="399"/>
        <v>6458186.3399999999</v>
      </c>
      <c r="AJ667" s="100">
        <f t="shared" si="394"/>
        <v>0</v>
      </c>
      <c r="AK667" s="100">
        <v>0</v>
      </c>
      <c r="AL667" s="100">
        <v>24140</v>
      </c>
      <c r="AM667" s="100">
        <v>0</v>
      </c>
      <c r="AN667" s="100">
        <v>0</v>
      </c>
      <c r="AO667" s="100">
        <f>IFERROR(AF667*20+(((AJ667/AH667)/2)*20),0)</f>
        <v>81404</v>
      </c>
      <c r="AP667" s="100">
        <f t="shared" si="364"/>
        <v>328187</v>
      </c>
      <c r="AQ667" s="101">
        <f t="shared" si="374"/>
        <v>6891918</v>
      </c>
      <c r="AR667" s="101">
        <v>0</v>
      </c>
      <c r="AS667" s="101">
        <v>0</v>
      </c>
      <c r="AT667" s="237" t="s">
        <v>34</v>
      </c>
      <c r="AU667" s="109">
        <v>14</v>
      </c>
      <c r="AV667" s="100">
        <f>35.74-23.74</f>
        <v>12.000000000000004</v>
      </c>
      <c r="AW667" s="105">
        <v>0</v>
      </c>
      <c r="AX667" s="216">
        <f t="shared" si="387"/>
        <v>0.43535944179646702</v>
      </c>
      <c r="AY667" s="217">
        <f t="shared" si="388"/>
        <v>28117</v>
      </c>
      <c r="AZ667" s="107"/>
      <c r="BA667" s="94">
        <v>45559.625</v>
      </c>
      <c r="BB667" s="94">
        <v>45559.663194444445</v>
      </c>
      <c r="BC667" s="94">
        <v>45559.663194444445</v>
      </c>
      <c r="BD667" s="94">
        <v>45559.818749999999</v>
      </c>
      <c r="BE667" s="95">
        <f t="shared" si="389"/>
        <v>0.19374999999854481</v>
      </c>
      <c r="BF667" s="95">
        <v>1.1111111111111112E-2</v>
      </c>
      <c r="BG667" s="95">
        <v>2.5000000000000001E-2</v>
      </c>
      <c r="BH667" s="95">
        <f t="shared" si="390"/>
        <v>3.8194444445252884E-2</v>
      </c>
      <c r="BI667" s="95">
        <f t="shared" si="390"/>
        <v>0</v>
      </c>
      <c r="BJ667" s="95">
        <f t="shared" si="390"/>
        <v>0.15555555555329192</v>
      </c>
      <c r="BK667" s="95">
        <f t="shared" si="391"/>
        <v>0.15555555555329192</v>
      </c>
      <c r="BL667" s="95">
        <f t="shared" si="392"/>
        <v>0.11944444444218083</v>
      </c>
      <c r="BM667" s="95" t="str">
        <f t="shared" si="393"/>
        <v>00:00</v>
      </c>
      <c r="BN667" s="110"/>
    </row>
    <row r="668" spans="1:66" s="8" customFormat="1" ht="12.75" customHeight="1" x14ac:dyDescent="0.25">
      <c r="A668" s="150">
        <v>607</v>
      </c>
      <c r="B668" s="150">
        <v>65</v>
      </c>
      <c r="C668" s="90">
        <v>15</v>
      </c>
      <c r="D668" s="111" t="s">
        <v>113</v>
      </c>
      <c r="E668" s="210" t="s">
        <v>759</v>
      </c>
      <c r="F668" s="150" t="s">
        <v>29</v>
      </c>
      <c r="G668" s="150" t="s">
        <v>8</v>
      </c>
      <c r="H668" s="150" t="s">
        <v>124</v>
      </c>
      <c r="I668" s="150" t="s">
        <v>880</v>
      </c>
      <c r="J668" s="151">
        <v>45559</v>
      </c>
      <c r="K668" s="135" t="s">
        <v>122</v>
      </c>
      <c r="L668" s="135">
        <v>461000481</v>
      </c>
      <c r="M668" s="151">
        <v>45560</v>
      </c>
      <c r="N668" s="152">
        <v>45559.8125</v>
      </c>
      <c r="O668" s="152">
        <v>45559.8125</v>
      </c>
      <c r="P668" s="152">
        <v>45559.840277777781</v>
      </c>
      <c r="Q668" s="152">
        <v>45559.989583333336</v>
      </c>
      <c r="R668" s="152" t="s">
        <v>118</v>
      </c>
      <c r="S668" s="152" t="s">
        <v>118</v>
      </c>
      <c r="T668" s="152">
        <v>45560.083333333336</v>
      </c>
      <c r="U668" s="152">
        <v>45560.194444444445</v>
      </c>
      <c r="V668" s="219">
        <f t="shared" si="385"/>
        <v>0.17708333333575865</v>
      </c>
      <c r="W668" s="203">
        <v>0.20833333333333334</v>
      </c>
      <c r="X668" s="219" t="str">
        <f t="shared" si="386"/>
        <v>00:00</v>
      </c>
      <c r="Y668" s="96">
        <v>0</v>
      </c>
      <c r="Z668" s="96">
        <v>58</v>
      </c>
      <c r="AA668" s="96">
        <f t="shared" si="395"/>
        <v>58</v>
      </c>
      <c r="AB668" s="97">
        <f t="shared" si="396"/>
        <v>0</v>
      </c>
      <c r="AC668" s="97">
        <f t="shared" si="397"/>
        <v>4046.7099999999996</v>
      </c>
      <c r="AD668" s="98">
        <v>4046.71</v>
      </c>
      <c r="AE668" s="98">
        <v>4036.4</v>
      </c>
      <c r="AF668" s="98">
        <v>4075.4</v>
      </c>
      <c r="AG668" s="98">
        <f t="shared" si="398"/>
        <v>28.690000000000055</v>
      </c>
      <c r="AH668" s="99">
        <v>797.2</v>
      </c>
      <c r="AI668" s="100">
        <f t="shared" si="399"/>
        <v>3248908.8800000004</v>
      </c>
      <c r="AJ668" s="100">
        <f t="shared" si="394"/>
        <v>0</v>
      </c>
      <c r="AK668" s="100">
        <v>0</v>
      </c>
      <c r="AL668" s="100">
        <v>48280</v>
      </c>
      <c r="AM668" s="100">
        <v>0</v>
      </c>
      <c r="AN668" s="100">
        <v>0</v>
      </c>
      <c r="AO668" s="100">
        <v>0</v>
      </c>
      <c r="AP668" s="100">
        <f t="shared" ref="AP668:AP699" si="400">ROUNDUP(SUM(AI668:AO668)*5%,0)</f>
        <v>164860</v>
      </c>
      <c r="AQ668" s="101">
        <f t="shared" si="374"/>
        <v>3462049</v>
      </c>
      <c r="AR668" s="101">
        <v>0</v>
      </c>
      <c r="AS668" s="101">
        <v>0</v>
      </c>
      <c r="AT668" s="237" t="s">
        <v>34</v>
      </c>
      <c r="AU668" s="109">
        <v>31</v>
      </c>
      <c r="AV668" s="100">
        <f>71.97-32.47</f>
        <v>39.5</v>
      </c>
      <c r="AW668" s="105">
        <v>0</v>
      </c>
      <c r="AX668" s="216">
        <f t="shared" si="387"/>
        <v>0.70397997742553009</v>
      </c>
      <c r="AY668" s="217">
        <f t="shared" si="388"/>
        <v>22872</v>
      </c>
      <c r="AZ668" s="107"/>
      <c r="BA668" s="94">
        <v>45559.8125</v>
      </c>
      <c r="BB668" s="94">
        <v>45559.840277777781</v>
      </c>
      <c r="BC668" s="94">
        <v>45559.861111111109</v>
      </c>
      <c r="BD668" s="94">
        <v>45560.010416666664</v>
      </c>
      <c r="BE668" s="95">
        <f t="shared" si="389"/>
        <v>0.19791666666424135</v>
      </c>
      <c r="BF668" s="95">
        <v>2.0833333333333332E-2</v>
      </c>
      <c r="BG668" s="95">
        <v>0</v>
      </c>
      <c r="BH668" s="95">
        <f t="shared" si="390"/>
        <v>2.7777777781011537E-2</v>
      </c>
      <c r="BI668" s="95">
        <f t="shared" si="390"/>
        <v>2.0833333328482695E-2</v>
      </c>
      <c r="BJ668" s="95">
        <f t="shared" si="390"/>
        <v>0.14930555555474712</v>
      </c>
      <c r="BK668" s="95">
        <f t="shared" si="391"/>
        <v>0.17013888888322981</v>
      </c>
      <c r="BL668" s="95">
        <f t="shared" si="392"/>
        <v>0.14930555554989647</v>
      </c>
      <c r="BM668" s="95" t="str">
        <f t="shared" si="393"/>
        <v>00:00</v>
      </c>
      <c r="BN668" s="110"/>
    </row>
    <row r="669" spans="1:66" s="8" customFormat="1" ht="12.75" customHeight="1" x14ac:dyDescent="0.25">
      <c r="A669" s="150">
        <v>608</v>
      </c>
      <c r="B669" s="150">
        <v>66</v>
      </c>
      <c r="C669" s="90">
        <v>8</v>
      </c>
      <c r="D669" s="111" t="s">
        <v>113</v>
      </c>
      <c r="E669" s="210" t="s">
        <v>799</v>
      </c>
      <c r="F669" s="150" t="s">
        <v>32</v>
      </c>
      <c r="G669" s="150" t="s">
        <v>15</v>
      </c>
      <c r="H669" s="150" t="s">
        <v>146</v>
      </c>
      <c r="I669" s="150" t="s">
        <v>881</v>
      </c>
      <c r="J669" s="151">
        <v>45559</v>
      </c>
      <c r="K669" s="135" t="s">
        <v>117</v>
      </c>
      <c r="L669" s="135">
        <v>261006007</v>
      </c>
      <c r="M669" s="151">
        <v>45560</v>
      </c>
      <c r="N669" s="152">
        <v>45560.114583333336</v>
      </c>
      <c r="O669" s="152">
        <v>45560.09375</v>
      </c>
      <c r="P669" s="152">
        <v>45560.121527777781</v>
      </c>
      <c r="Q669" s="152">
        <v>45560.291666666664</v>
      </c>
      <c r="R669" s="152">
        <v>45560.114583333336</v>
      </c>
      <c r="S669" s="152" t="s">
        <v>118</v>
      </c>
      <c r="T669" s="152">
        <v>45560.354166666664</v>
      </c>
      <c r="U669" s="152">
        <v>45560.576388888891</v>
      </c>
      <c r="V669" s="219">
        <f t="shared" si="385"/>
        <v>0.19791666666424135</v>
      </c>
      <c r="W669" s="203">
        <v>0.20833333333333334</v>
      </c>
      <c r="X669" s="219" t="str">
        <f t="shared" si="386"/>
        <v>00:00</v>
      </c>
      <c r="Y669" s="96">
        <v>0</v>
      </c>
      <c r="Z669" s="96">
        <v>59</v>
      </c>
      <c r="AA669" s="96">
        <f t="shared" si="395"/>
        <v>59</v>
      </c>
      <c r="AB669" s="97">
        <f t="shared" si="396"/>
        <v>0</v>
      </c>
      <c r="AC669" s="97">
        <f t="shared" si="397"/>
        <v>4101.67</v>
      </c>
      <c r="AD669" s="98">
        <v>4101.67</v>
      </c>
      <c r="AE669" s="98">
        <v>4106.2</v>
      </c>
      <c r="AF669" s="98">
        <v>4133.2</v>
      </c>
      <c r="AG669" s="98">
        <f t="shared" si="398"/>
        <v>31.529999999999745</v>
      </c>
      <c r="AH669" s="99">
        <v>1398.7</v>
      </c>
      <c r="AI669" s="100">
        <f t="shared" si="399"/>
        <v>5781106.8399999999</v>
      </c>
      <c r="AJ669" s="100">
        <f t="shared" si="394"/>
        <v>0</v>
      </c>
      <c r="AK669" s="100">
        <v>0</v>
      </c>
      <c r="AL669" s="100">
        <v>48580</v>
      </c>
      <c r="AM669" s="100">
        <v>0</v>
      </c>
      <c r="AN669" s="100">
        <v>0</v>
      </c>
      <c r="AO669" s="100">
        <v>0</v>
      </c>
      <c r="AP669" s="100">
        <f t="shared" si="400"/>
        <v>291485</v>
      </c>
      <c r="AQ669" s="101">
        <f t="shared" si="374"/>
        <v>6121172</v>
      </c>
      <c r="AR669" s="101">
        <v>0</v>
      </c>
      <c r="AS669" s="101">
        <v>0</v>
      </c>
      <c r="AT669" s="102" t="s">
        <v>33</v>
      </c>
      <c r="AU669" s="109">
        <v>11</v>
      </c>
      <c r="AV669" s="100">
        <f>33.07-24.57</f>
        <v>8.5</v>
      </c>
      <c r="AW669" s="105">
        <v>0</v>
      </c>
      <c r="AX669" s="216">
        <f t="shared" si="387"/>
        <v>0.7628471886189816</v>
      </c>
      <c r="AY669" s="217">
        <f t="shared" si="388"/>
        <v>44102</v>
      </c>
      <c r="AZ669" s="107"/>
      <c r="BA669" s="94">
        <v>45560.114583333336</v>
      </c>
      <c r="BB669" s="94">
        <v>45560.121527777781</v>
      </c>
      <c r="BC669" s="94">
        <v>45560.121527777781</v>
      </c>
      <c r="BD669" s="94">
        <v>45560.290277777778</v>
      </c>
      <c r="BE669" s="95">
        <f t="shared" si="389"/>
        <v>0.1756944444423425</v>
      </c>
      <c r="BF669" s="95">
        <v>0</v>
      </c>
      <c r="BG669" s="95">
        <v>5.9722222222222225E-2</v>
      </c>
      <c r="BH669" s="95">
        <f t="shared" si="390"/>
        <v>6.9444444452528842E-3</v>
      </c>
      <c r="BI669" s="95">
        <f t="shared" si="390"/>
        <v>0</v>
      </c>
      <c r="BJ669" s="95">
        <f t="shared" si="390"/>
        <v>0.16874999999708962</v>
      </c>
      <c r="BK669" s="95">
        <f t="shared" si="391"/>
        <v>0.16874999999708962</v>
      </c>
      <c r="BL669" s="95">
        <f t="shared" si="392"/>
        <v>0.10902777777486738</v>
      </c>
      <c r="BM669" s="95" t="str">
        <f t="shared" si="393"/>
        <v>00:00</v>
      </c>
      <c r="BN669" s="110"/>
    </row>
    <row r="670" spans="1:66" s="8" customFormat="1" ht="12.75" customHeight="1" x14ac:dyDescent="0.25">
      <c r="A670" s="150">
        <v>609</v>
      </c>
      <c r="B670" s="150">
        <v>67</v>
      </c>
      <c r="C670" s="90">
        <v>11</v>
      </c>
      <c r="D670" s="111" t="s">
        <v>148</v>
      </c>
      <c r="E670" s="210" t="s">
        <v>840</v>
      </c>
      <c r="F670" s="150" t="s">
        <v>19</v>
      </c>
      <c r="G670" s="150" t="s">
        <v>17</v>
      </c>
      <c r="H670" s="150" t="s">
        <v>150</v>
      </c>
      <c r="I670" s="150" t="s">
        <v>882</v>
      </c>
      <c r="J670" s="151">
        <v>45555</v>
      </c>
      <c r="K670" s="135" t="s">
        <v>122</v>
      </c>
      <c r="L670" s="135">
        <v>461000482</v>
      </c>
      <c r="M670" s="151">
        <v>45560</v>
      </c>
      <c r="N670" s="152">
        <v>45560.361111111109</v>
      </c>
      <c r="O670" s="152">
        <v>45560.354166666664</v>
      </c>
      <c r="P670" s="152">
        <v>45560.364583333336</v>
      </c>
      <c r="Q670" s="152">
        <v>45560.5625</v>
      </c>
      <c r="R670" s="152">
        <v>45560.361111111109</v>
      </c>
      <c r="S670" s="152" t="s">
        <v>118</v>
      </c>
      <c r="T670" s="152">
        <v>45560.604166666664</v>
      </c>
      <c r="U670" s="152">
        <v>45560.833333333336</v>
      </c>
      <c r="V670" s="219">
        <f t="shared" si="385"/>
        <v>0.20833333333575865</v>
      </c>
      <c r="W670" s="203">
        <v>0.20833333333333334</v>
      </c>
      <c r="X670" s="219">
        <f t="shared" si="386"/>
        <v>2.4253099528692701E-12</v>
      </c>
      <c r="Y670" s="96">
        <v>0</v>
      </c>
      <c r="Z670" s="96">
        <v>59</v>
      </c>
      <c r="AA670" s="96">
        <f t="shared" si="395"/>
        <v>59</v>
      </c>
      <c r="AB670" s="97">
        <f t="shared" si="396"/>
        <v>0</v>
      </c>
      <c r="AC670" s="97">
        <f t="shared" si="397"/>
        <v>4148.17</v>
      </c>
      <c r="AD670" s="98">
        <v>4148.17</v>
      </c>
      <c r="AE670" s="98">
        <v>4105.6000000000004</v>
      </c>
      <c r="AF670" s="98">
        <v>4161.3999999999996</v>
      </c>
      <c r="AG670" s="98">
        <f t="shared" si="398"/>
        <v>13.229999999999563</v>
      </c>
      <c r="AH670" s="99">
        <v>672.5</v>
      </c>
      <c r="AI670" s="100">
        <f t="shared" si="399"/>
        <v>2798541.4999999995</v>
      </c>
      <c r="AJ670" s="100">
        <f t="shared" si="394"/>
        <v>0</v>
      </c>
      <c r="AK670" s="100">
        <v>0</v>
      </c>
      <c r="AL670" s="100">
        <v>72870</v>
      </c>
      <c r="AM670" s="100">
        <v>0</v>
      </c>
      <c r="AN670" s="100">
        <v>0</v>
      </c>
      <c r="AO670" s="100">
        <v>0</v>
      </c>
      <c r="AP670" s="100">
        <f t="shared" si="400"/>
        <v>143571</v>
      </c>
      <c r="AQ670" s="101">
        <f t="shared" si="374"/>
        <v>3014983</v>
      </c>
      <c r="AR670" s="101">
        <v>0</v>
      </c>
      <c r="AS670" s="101">
        <v>0</v>
      </c>
      <c r="AT670" s="102" t="s">
        <v>34</v>
      </c>
      <c r="AU670" s="109">
        <v>55</v>
      </c>
      <c r="AV670" s="100">
        <f>225.37-43.37</f>
        <v>182</v>
      </c>
      <c r="AW670" s="105">
        <v>0</v>
      </c>
      <c r="AX670" s="216">
        <f t="shared" si="387"/>
        <v>0.31792185322246275</v>
      </c>
      <c r="AY670" s="217">
        <f t="shared" si="388"/>
        <v>8898</v>
      </c>
      <c r="AZ670" s="107"/>
      <c r="BA670" s="94">
        <v>45560.361111111109</v>
      </c>
      <c r="BB670" s="94">
        <v>45560.364583333336</v>
      </c>
      <c r="BC670" s="94">
        <v>45560.364583333336</v>
      </c>
      <c r="BD670" s="94">
        <v>45560.583333333336</v>
      </c>
      <c r="BE670" s="95">
        <f t="shared" si="389"/>
        <v>0.22222222222626442</v>
      </c>
      <c r="BF670" s="95">
        <v>3.6111111111111108E-2</v>
      </c>
      <c r="BG670" s="95">
        <v>2.013888888888889E-2</v>
      </c>
      <c r="BH670" s="95">
        <f t="shared" si="390"/>
        <v>3.4722222262644209E-3</v>
      </c>
      <c r="BI670" s="95">
        <f t="shared" si="390"/>
        <v>0</v>
      </c>
      <c r="BJ670" s="95">
        <f t="shared" si="390"/>
        <v>0.21875</v>
      </c>
      <c r="BK670" s="95">
        <f t="shared" si="391"/>
        <v>0.21875</v>
      </c>
      <c r="BL670" s="95">
        <f t="shared" si="392"/>
        <v>0.16250000000000001</v>
      </c>
      <c r="BM670" s="95">
        <f t="shared" si="393"/>
        <v>1.3888888892931078E-2</v>
      </c>
      <c r="BN670" s="110"/>
    </row>
    <row r="671" spans="1:66" s="8" customFormat="1" ht="12.75" customHeight="1" x14ac:dyDescent="0.25">
      <c r="A671" s="150">
        <v>610</v>
      </c>
      <c r="B671" s="150">
        <v>68</v>
      </c>
      <c r="C671" s="90">
        <v>9</v>
      </c>
      <c r="D671" s="111" t="s">
        <v>113</v>
      </c>
      <c r="E671" s="210" t="s">
        <v>799</v>
      </c>
      <c r="F671" s="150" t="s">
        <v>32</v>
      </c>
      <c r="G671" s="150" t="s">
        <v>15</v>
      </c>
      <c r="H671" s="150" t="s">
        <v>135</v>
      </c>
      <c r="I671" s="150" t="s">
        <v>883</v>
      </c>
      <c r="J671" s="151">
        <v>45560</v>
      </c>
      <c r="K671" s="135" t="s">
        <v>117</v>
      </c>
      <c r="L671" s="135">
        <v>241000405</v>
      </c>
      <c r="M671" s="151">
        <v>45561</v>
      </c>
      <c r="N671" s="152">
        <v>45560.645833333336</v>
      </c>
      <c r="O671" s="152">
        <v>45560.645833333336</v>
      </c>
      <c r="P671" s="152">
        <v>45560.666666666664</v>
      </c>
      <c r="Q671" s="152">
        <v>45560.854166666664</v>
      </c>
      <c r="R671" s="152" t="s">
        <v>118</v>
      </c>
      <c r="S671" s="152" t="s">
        <v>118</v>
      </c>
      <c r="T671" s="152">
        <v>45560.979166666664</v>
      </c>
      <c r="U671" s="152">
        <v>45561.041666666664</v>
      </c>
      <c r="V671" s="219">
        <f t="shared" si="385"/>
        <v>0.20833333332848269</v>
      </c>
      <c r="W671" s="203">
        <v>0.20833333333333334</v>
      </c>
      <c r="X671" s="219" t="str">
        <f t="shared" si="386"/>
        <v>00:00</v>
      </c>
      <c r="Y671" s="96">
        <v>0</v>
      </c>
      <c r="Z671" s="96">
        <v>58</v>
      </c>
      <c r="AA671" s="96">
        <f t="shared" si="395"/>
        <v>58</v>
      </c>
      <c r="AB671" s="97">
        <f t="shared" si="396"/>
        <v>0</v>
      </c>
      <c r="AC671" s="97">
        <f t="shared" si="397"/>
        <v>3939.95</v>
      </c>
      <c r="AD671" s="98">
        <v>3939.95</v>
      </c>
      <c r="AE671" s="98">
        <v>4014.7</v>
      </c>
      <c r="AF671" s="98">
        <v>4018</v>
      </c>
      <c r="AG671" s="98">
        <f t="shared" si="398"/>
        <v>78.050000000000182</v>
      </c>
      <c r="AH671" s="99">
        <v>797.2</v>
      </c>
      <c r="AI671" s="100">
        <f t="shared" si="399"/>
        <v>3203149.6</v>
      </c>
      <c r="AJ671" s="100">
        <f>(0.2*AH671)*2</f>
        <v>318.88000000000005</v>
      </c>
      <c r="AK671" s="100">
        <v>0</v>
      </c>
      <c r="AL671" s="100">
        <v>0</v>
      </c>
      <c r="AM671" s="100">
        <v>0</v>
      </c>
      <c r="AN671" s="100">
        <v>0</v>
      </c>
      <c r="AO671" s="100">
        <v>0</v>
      </c>
      <c r="AP671" s="100">
        <f t="shared" si="400"/>
        <v>160174</v>
      </c>
      <c r="AQ671" s="101">
        <f t="shared" si="374"/>
        <v>3363643</v>
      </c>
      <c r="AR671" s="101">
        <v>0</v>
      </c>
      <c r="AS671" s="101">
        <v>0</v>
      </c>
      <c r="AT671" s="102" t="s">
        <v>34</v>
      </c>
      <c r="AU671" s="109" t="s">
        <v>118</v>
      </c>
      <c r="AV671" s="100">
        <v>0</v>
      </c>
      <c r="AW671" s="105">
        <v>0</v>
      </c>
      <c r="AX671" s="216">
        <f t="shared" si="387"/>
        <v>1.9425087108013983</v>
      </c>
      <c r="AY671" s="217">
        <f t="shared" si="388"/>
        <v>62222</v>
      </c>
      <c r="AZ671" s="107"/>
      <c r="BA671" s="94">
        <v>45560.645833333336</v>
      </c>
      <c r="BB671" s="94">
        <v>45560.666666666664</v>
      </c>
      <c r="BC671" s="94">
        <v>45560.666666666664</v>
      </c>
      <c r="BD671" s="94">
        <v>45560.832638888889</v>
      </c>
      <c r="BE671" s="95">
        <f t="shared" si="389"/>
        <v>0.18680555555329192</v>
      </c>
      <c r="BF671" s="95">
        <v>4.8611111111111112E-3</v>
      </c>
      <c r="BG671" s="95">
        <v>5.486111111111111E-2</v>
      </c>
      <c r="BH671" s="95">
        <f t="shared" si="390"/>
        <v>2.0833333328482695E-2</v>
      </c>
      <c r="BI671" s="95">
        <f t="shared" si="390"/>
        <v>0</v>
      </c>
      <c r="BJ671" s="95">
        <f t="shared" si="390"/>
        <v>0.16597222222480923</v>
      </c>
      <c r="BK671" s="95">
        <f t="shared" si="391"/>
        <v>0.16597222222480923</v>
      </c>
      <c r="BL671" s="95">
        <f t="shared" si="392"/>
        <v>0.106250000002587</v>
      </c>
      <c r="BM671" s="95" t="str">
        <f t="shared" si="393"/>
        <v>00:00</v>
      </c>
      <c r="BN671" s="110"/>
    </row>
    <row r="672" spans="1:66" s="8" customFormat="1" ht="12.75" customHeight="1" x14ac:dyDescent="0.25">
      <c r="A672" s="150">
        <v>611</v>
      </c>
      <c r="B672" s="150">
        <v>69</v>
      </c>
      <c r="C672" s="90">
        <v>16</v>
      </c>
      <c r="D672" s="111" t="s">
        <v>113</v>
      </c>
      <c r="E672" s="210" t="s">
        <v>759</v>
      </c>
      <c r="F672" s="150" t="s">
        <v>29</v>
      </c>
      <c r="G672" s="150" t="s">
        <v>8</v>
      </c>
      <c r="H672" s="150" t="s">
        <v>124</v>
      </c>
      <c r="I672" s="150" t="s">
        <v>884</v>
      </c>
      <c r="J672" s="151">
        <v>45560</v>
      </c>
      <c r="K672" s="135" t="s">
        <v>122</v>
      </c>
      <c r="L672" s="135">
        <v>261006008</v>
      </c>
      <c r="M672" s="151">
        <v>45561</v>
      </c>
      <c r="N672" s="152">
        <v>45560.902777777781</v>
      </c>
      <c r="O672" s="152">
        <v>45560.902777777781</v>
      </c>
      <c r="P672" s="152">
        <v>45560.913194444445</v>
      </c>
      <c r="Q672" s="152">
        <v>45561.104166666664</v>
      </c>
      <c r="R672" s="152" t="s">
        <v>118</v>
      </c>
      <c r="S672" s="152" t="s">
        <v>118</v>
      </c>
      <c r="T672" s="152">
        <v>45561.145833333336</v>
      </c>
      <c r="U672" s="152">
        <v>45561.209722222222</v>
      </c>
      <c r="V672" s="219">
        <f t="shared" si="385"/>
        <v>0.20138888888322981</v>
      </c>
      <c r="W672" s="203">
        <v>0.20833333333333334</v>
      </c>
      <c r="X672" s="219" t="str">
        <f t="shared" si="386"/>
        <v>00:00</v>
      </c>
      <c r="Y672" s="96">
        <v>0</v>
      </c>
      <c r="Z672" s="96">
        <v>56</v>
      </c>
      <c r="AA672" s="96">
        <f t="shared" si="395"/>
        <v>56</v>
      </c>
      <c r="AB672" s="97">
        <f t="shared" si="396"/>
        <v>0</v>
      </c>
      <c r="AC672" s="97">
        <f t="shared" si="397"/>
        <v>3825.69</v>
      </c>
      <c r="AD672" s="98">
        <v>3825.69</v>
      </c>
      <c r="AE672" s="98">
        <v>3886.4</v>
      </c>
      <c r="AF672" s="98">
        <v>3891</v>
      </c>
      <c r="AG672" s="98">
        <f t="shared" si="398"/>
        <v>65.309999999999945</v>
      </c>
      <c r="AH672" s="99">
        <v>797.2</v>
      </c>
      <c r="AI672" s="100">
        <f t="shared" si="399"/>
        <v>3101905.2</v>
      </c>
      <c r="AJ672" s="100">
        <f>(0.4*AH672)*2</f>
        <v>637.7600000000001</v>
      </c>
      <c r="AK672" s="100">
        <v>0</v>
      </c>
      <c r="AL672" s="100">
        <v>0</v>
      </c>
      <c r="AM672" s="100">
        <v>0</v>
      </c>
      <c r="AN672" s="100">
        <v>0</v>
      </c>
      <c r="AO672" s="100">
        <v>0</v>
      </c>
      <c r="AP672" s="100">
        <f t="shared" si="400"/>
        <v>155128</v>
      </c>
      <c r="AQ672" s="101">
        <f t="shared" si="374"/>
        <v>3257671</v>
      </c>
      <c r="AR672" s="101">
        <v>0</v>
      </c>
      <c r="AS672" s="101">
        <v>0</v>
      </c>
      <c r="AT672" s="102" t="s">
        <v>34</v>
      </c>
      <c r="AU672" s="109" t="s">
        <v>118</v>
      </c>
      <c r="AV672" s="100">
        <v>0</v>
      </c>
      <c r="AW672" s="105">
        <v>0</v>
      </c>
      <c r="AX672" s="216">
        <f t="shared" si="387"/>
        <v>1.6784888203546633</v>
      </c>
      <c r="AY672" s="217">
        <f t="shared" si="388"/>
        <v>52066</v>
      </c>
      <c r="AZ672" s="107"/>
      <c r="BA672" s="94">
        <v>45560.902777777781</v>
      </c>
      <c r="BB672" s="94">
        <v>45560.913194444445</v>
      </c>
      <c r="BC672" s="94">
        <v>45560.913194444445</v>
      </c>
      <c r="BD672" s="94">
        <v>45561.0625</v>
      </c>
      <c r="BE672" s="95">
        <f t="shared" si="389"/>
        <v>0.15972222221898846</v>
      </c>
      <c r="BF672" s="95">
        <v>1.7361111111111112E-2</v>
      </c>
      <c r="BG672" s="95">
        <v>4.8611111111111112E-3</v>
      </c>
      <c r="BH672" s="95">
        <f t="shared" si="390"/>
        <v>1.0416666664241347E-2</v>
      </c>
      <c r="BI672" s="95">
        <f t="shared" si="390"/>
        <v>0</v>
      </c>
      <c r="BJ672" s="95">
        <f t="shared" si="390"/>
        <v>0.14930555555474712</v>
      </c>
      <c r="BK672" s="95">
        <f t="shared" si="391"/>
        <v>0.14930555555474712</v>
      </c>
      <c r="BL672" s="95">
        <f t="shared" si="392"/>
        <v>0.12708333333252489</v>
      </c>
      <c r="BM672" s="95" t="str">
        <f t="shared" si="393"/>
        <v>00:00</v>
      </c>
      <c r="BN672" s="110"/>
    </row>
    <row r="673" spans="1:66" s="8" customFormat="1" ht="12.75" customHeight="1" x14ac:dyDescent="0.25">
      <c r="A673" s="150">
        <v>612</v>
      </c>
      <c r="B673" s="150">
        <v>70</v>
      </c>
      <c r="C673" s="90">
        <v>10</v>
      </c>
      <c r="D673" s="111" t="s">
        <v>113</v>
      </c>
      <c r="E673" s="210" t="s">
        <v>799</v>
      </c>
      <c r="F673" s="150" t="s">
        <v>32</v>
      </c>
      <c r="G673" s="150" t="s">
        <v>15</v>
      </c>
      <c r="H673" s="150" t="s">
        <v>146</v>
      </c>
      <c r="I673" s="150" t="s">
        <v>885</v>
      </c>
      <c r="J673" s="151">
        <v>45561</v>
      </c>
      <c r="K673" s="135" t="s">
        <v>117</v>
      </c>
      <c r="L673" s="135">
        <v>261006009</v>
      </c>
      <c r="M673" s="151">
        <v>45561</v>
      </c>
      <c r="N673" s="152">
        <v>45561.184027777781</v>
      </c>
      <c r="O673" s="152">
        <v>45561.184027777781</v>
      </c>
      <c r="P673" s="152">
        <v>45561.190972222219</v>
      </c>
      <c r="Q673" s="152">
        <v>45561.385416666664</v>
      </c>
      <c r="R673" s="152" t="s">
        <v>118</v>
      </c>
      <c r="S673" s="152" t="s">
        <v>118</v>
      </c>
      <c r="T673" s="152">
        <v>45561.395833333336</v>
      </c>
      <c r="U673" s="152">
        <v>45561.479166666664</v>
      </c>
      <c r="V673" s="219">
        <f t="shared" si="385"/>
        <v>0.20138888888322981</v>
      </c>
      <c r="W673" s="203">
        <v>0.20833333333333334</v>
      </c>
      <c r="X673" s="219" t="str">
        <f t="shared" si="386"/>
        <v>00:00</v>
      </c>
      <c r="Y673" s="96">
        <v>0</v>
      </c>
      <c r="Z673" s="96">
        <v>58</v>
      </c>
      <c r="AA673" s="96">
        <f t="shared" si="395"/>
        <v>58</v>
      </c>
      <c r="AB673" s="97">
        <f t="shared" si="396"/>
        <v>0</v>
      </c>
      <c r="AC673" s="97">
        <f t="shared" si="397"/>
        <v>3970.9000000000005</v>
      </c>
      <c r="AD673" s="98">
        <v>3970.9</v>
      </c>
      <c r="AE673" s="98">
        <v>4035.3</v>
      </c>
      <c r="AF673" s="98">
        <v>4038.2</v>
      </c>
      <c r="AG673" s="98">
        <f t="shared" si="398"/>
        <v>67.299999999999727</v>
      </c>
      <c r="AH673" s="99">
        <v>1398.7</v>
      </c>
      <c r="AI673" s="100">
        <f t="shared" si="399"/>
        <v>5648230.3399999999</v>
      </c>
      <c r="AJ673" s="100">
        <f>(0.2*AH673)*2</f>
        <v>559.48</v>
      </c>
      <c r="AK673" s="100">
        <v>0</v>
      </c>
      <c r="AL673" s="100">
        <v>0</v>
      </c>
      <c r="AM673" s="100">
        <v>0</v>
      </c>
      <c r="AN673" s="100">
        <v>0</v>
      </c>
      <c r="AO673" s="100">
        <v>0</v>
      </c>
      <c r="AP673" s="100">
        <f t="shared" si="400"/>
        <v>282440</v>
      </c>
      <c r="AQ673" s="101">
        <f t="shared" si="374"/>
        <v>5931230</v>
      </c>
      <c r="AR673" s="101">
        <v>0</v>
      </c>
      <c r="AS673" s="101">
        <v>0</v>
      </c>
      <c r="AT673" s="102" t="s">
        <v>34</v>
      </c>
      <c r="AU673" s="109" t="s">
        <v>118</v>
      </c>
      <c r="AV673" s="100">
        <v>0</v>
      </c>
      <c r="AW673" s="105">
        <v>0</v>
      </c>
      <c r="AX673" s="216">
        <f t="shared" si="387"/>
        <v>1.666584121638347</v>
      </c>
      <c r="AY673" s="217">
        <f t="shared" si="388"/>
        <v>94133</v>
      </c>
      <c r="AZ673" s="107"/>
      <c r="BA673" s="94">
        <v>45561.1875</v>
      </c>
      <c r="BB673" s="94">
        <v>45561.190972222219</v>
      </c>
      <c r="BC673" s="94">
        <v>45561.197916666664</v>
      </c>
      <c r="BD673" s="94">
        <v>45561.367361111108</v>
      </c>
      <c r="BE673" s="95">
        <f t="shared" si="389"/>
        <v>0.17986111110803904</v>
      </c>
      <c r="BF673" s="95">
        <v>0</v>
      </c>
      <c r="BG673" s="95">
        <v>6.458333333333334E-2</v>
      </c>
      <c r="BH673" s="95">
        <f t="shared" si="390"/>
        <v>3.4722222189884633E-3</v>
      </c>
      <c r="BI673" s="95">
        <f t="shared" si="390"/>
        <v>6.9444444452528842E-3</v>
      </c>
      <c r="BJ673" s="95">
        <f t="shared" si="390"/>
        <v>0.16944444444379769</v>
      </c>
      <c r="BK673" s="95">
        <f t="shared" si="391"/>
        <v>0.17638888888905058</v>
      </c>
      <c r="BL673" s="95">
        <f t="shared" si="392"/>
        <v>0.11180555555571724</v>
      </c>
      <c r="BM673" s="95" t="str">
        <f t="shared" si="393"/>
        <v>00:00</v>
      </c>
      <c r="BN673" s="110"/>
    </row>
    <row r="674" spans="1:66" s="8" customFormat="1" ht="12.75" customHeight="1" x14ac:dyDescent="0.25">
      <c r="A674" s="150">
        <v>613</v>
      </c>
      <c r="B674" s="150">
        <v>71</v>
      </c>
      <c r="C674" s="90">
        <v>12</v>
      </c>
      <c r="D674" s="111" t="s">
        <v>148</v>
      </c>
      <c r="E674" s="210" t="s">
        <v>840</v>
      </c>
      <c r="F674" s="150" t="s">
        <v>19</v>
      </c>
      <c r="G674" s="150" t="s">
        <v>17</v>
      </c>
      <c r="H674" s="150" t="s">
        <v>150</v>
      </c>
      <c r="I674" s="150" t="s">
        <v>886</v>
      </c>
      <c r="J674" s="151">
        <v>45559</v>
      </c>
      <c r="K674" s="135" t="s">
        <v>122</v>
      </c>
      <c r="L674" s="135">
        <v>461000483</v>
      </c>
      <c r="M674" s="151">
        <v>45562</v>
      </c>
      <c r="N674" s="152">
        <v>45561.625</v>
      </c>
      <c r="O674" s="152">
        <v>45561.625</v>
      </c>
      <c r="P674" s="152">
        <v>45561.628472222219</v>
      </c>
      <c r="Q674" s="152">
        <v>45561.833333333336</v>
      </c>
      <c r="R674" s="152" t="s">
        <v>118</v>
      </c>
      <c r="S674" s="152" t="s">
        <v>118</v>
      </c>
      <c r="T674" s="152">
        <v>45561.854166666664</v>
      </c>
      <c r="U674" s="152">
        <v>45562.069444444445</v>
      </c>
      <c r="V674" s="219">
        <f t="shared" si="385"/>
        <v>0.20833333333575865</v>
      </c>
      <c r="W674" s="203">
        <v>0.20833333333333334</v>
      </c>
      <c r="X674" s="219">
        <f t="shared" si="386"/>
        <v>2.4253099528692701E-12</v>
      </c>
      <c r="Y674" s="96">
        <v>0</v>
      </c>
      <c r="Z674" s="96">
        <v>59</v>
      </c>
      <c r="AA674" s="96">
        <f t="shared" si="395"/>
        <v>59</v>
      </c>
      <c r="AB674" s="97">
        <f t="shared" si="396"/>
        <v>0</v>
      </c>
      <c r="AC674" s="97">
        <f t="shared" si="397"/>
        <v>4127.47</v>
      </c>
      <c r="AD674" s="98">
        <v>4127.47</v>
      </c>
      <c r="AE674" s="98">
        <v>4103.8</v>
      </c>
      <c r="AF674" s="98">
        <v>4141.6000000000004</v>
      </c>
      <c r="AG674" s="98">
        <f t="shared" si="398"/>
        <v>14.130000000000109</v>
      </c>
      <c r="AH674" s="99">
        <v>672.5</v>
      </c>
      <c r="AI674" s="100">
        <f t="shared" si="399"/>
        <v>2785226.0000000005</v>
      </c>
      <c r="AJ674" s="100">
        <f>(0*AH674)*2</f>
        <v>0</v>
      </c>
      <c r="AK674" s="100">
        <v>0</v>
      </c>
      <c r="AL674" s="100">
        <v>48580</v>
      </c>
      <c r="AM674" s="100">
        <v>0</v>
      </c>
      <c r="AN674" s="100">
        <v>0</v>
      </c>
      <c r="AO674" s="100">
        <v>0</v>
      </c>
      <c r="AP674" s="100">
        <f t="shared" si="400"/>
        <v>141691</v>
      </c>
      <c r="AQ674" s="101">
        <f t="shared" si="374"/>
        <v>2975497</v>
      </c>
      <c r="AR674" s="101">
        <v>0</v>
      </c>
      <c r="AS674" s="101">
        <v>0</v>
      </c>
      <c r="AT674" s="102" t="s">
        <v>33</v>
      </c>
      <c r="AU674" s="109">
        <v>27</v>
      </c>
      <c r="AV674" s="100">
        <f>67.9-31.4</f>
        <v>36.500000000000007</v>
      </c>
      <c r="AW674" s="105">
        <v>0</v>
      </c>
      <c r="AX674" s="216">
        <f t="shared" si="387"/>
        <v>0.34117249372223551</v>
      </c>
      <c r="AY674" s="217">
        <f t="shared" si="388"/>
        <v>9503</v>
      </c>
      <c r="AZ674" s="107"/>
      <c r="BA674" s="94">
        <v>45561.625</v>
      </c>
      <c r="BB674" s="94">
        <v>45561.628472222219</v>
      </c>
      <c r="BC674" s="94">
        <v>45561.649305555555</v>
      </c>
      <c r="BD674" s="94">
        <v>45561.840277777781</v>
      </c>
      <c r="BE674" s="95">
        <f t="shared" si="389"/>
        <v>0.21527777778101154</v>
      </c>
      <c r="BF674" s="95">
        <v>4.0972222222222222E-2</v>
      </c>
      <c r="BG674" s="95">
        <v>6.9444444444444441E-3</v>
      </c>
      <c r="BH674" s="95">
        <f t="shared" si="390"/>
        <v>3.4722222189884633E-3</v>
      </c>
      <c r="BI674" s="95">
        <f t="shared" si="390"/>
        <v>2.0833333335758653E-2</v>
      </c>
      <c r="BJ674" s="95">
        <f t="shared" si="390"/>
        <v>0.19097222222626442</v>
      </c>
      <c r="BK674" s="95">
        <f t="shared" si="391"/>
        <v>0.21180555556202307</v>
      </c>
      <c r="BL674" s="95">
        <f t="shared" si="392"/>
        <v>0.16388888889535641</v>
      </c>
      <c r="BM674" s="95">
        <f t="shared" si="393"/>
        <v>6.9444444476781941E-3</v>
      </c>
      <c r="BN674" s="110"/>
    </row>
    <row r="675" spans="1:66" s="8" customFormat="1" ht="12.75" customHeight="1" x14ac:dyDescent="0.25">
      <c r="A675" s="150">
        <v>614</v>
      </c>
      <c r="B675" s="150">
        <v>72</v>
      </c>
      <c r="C675" s="90">
        <v>13</v>
      </c>
      <c r="D675" s="111" t="s">
        <v>148</v>
      </c>
      <c r="E675" s="210" t="s">
        <v>840</v>
      </c>
      <c r="F675" s="150" t="s">
        <v>19</v>
      </c>
      <c r="G675" s="150" t="s">
        <v>17</v>
      </c>
      <c r="H675" s="150" t="s">
        <v>150</v>
      </c>
      <c r="I675" s="150" t="s">
        <v>887</v>
      </c>
      <c r="J675" s="151">
        <v>45561</v>
      </c>
      <c r="K675" s="135" t="s">
        <v>117</v>
      </c>
      <c r="L675" s="135">
        <v>461000484</v>
      </c>
      <c r="M675" s="151">
        <v>45562</v>
      </c>
      <c r="N675" s="152">
        <v>45561.822916666664</v>
      </c>
      <c r="O675" s="152">
        <v>45561.822916666664</v>
      </c>
      <c r="P675" s="152">
        <v>45561.826388888891</v>
      </c>
      <c r="Q675" s="152">
        <v>45562.114583333336</v>
      </c>
      <c r="R675" s="152" t="s">
        <v>118</v>
      </c>
      <c r="S675" s="152">
        <v>45562.1875</v>
      </c>
      <c r="T675" s="152">
        <v>45562.25</v>
      </c>
      <c r="U675" s="152">
        <v>45562.349305555559</v>
      </c>
      <c r="V675" s="219">
        <f t="shared" si="385"/>
        <v>0.29166666667151731</v>
      </c>
      <c r="W675" s="203">
        <v>0.20833333333333334</v>
      </c>
      <c r="X675" s="219">
        <f t="shared" si="386"/>
        <v>8.3333333338183962E-2</v>
      </c>
      <c r="Y675" s="96">
        <v>0</v>
      </c>
      <c r="Z675" s="96">
        <v>58</v>
      </c>
      <c r="AA675" s="96">
        <f t="shared" si="395"/>
        <v>58</v>
      </c>
      <c r="AB675" s="97">
        <f t="shared" si="396"/>
        <v>0</v>
      </c>
      <c r="AC675" s="97">
        <f t="shared" si="397"/>
        <v>4035.6099999999997</v>
      </c>
      <c r="AD675" s="98">
        <v>4035.61</v>
      </c>
      <c r="AE675" s="98">
        <v>4025.1</v>
      </c>
      <c r="AF675" s="98">
        <v>4062.2</v>
      </c>
      <c r="AG675" s="98">
        <f t="shared" si="398"/>
        <v>26.589999999999691</v>
      </c>
      <c r="AH675" s="99">
        <v>672.5</v>
      </c>
      <c r="AI675" s="100">
        <f t="shared" si="399"/>
        <v>2731829.5</v>
      </c>
      <c r="AJ675" s="100">
        <f>(0*AH675)*2</f>
        <v>0</v>
      </c>
      <c r="AK675" s="100">
        <v>0</v>
      </c>
      <c r="AL675" s="100">
        <v>24140</v>
      </c>
      <c r="AM675" s="100">
        <v>0</v>
      </c>
      <c r="AN675" s="100">
        <v>0</v>
      </c>
      <c r="AO675" s="100"/>
      <c r="AP675" s="100">
        <f t="shared" si="400"/>
        <v>137799</v>
      </c>
      <c r="AQ675" s="101">
        <f t="shared" si="374"/>
        <v>2893769</v>
      </c>
      <c r="AR675" s="101">
        <v>0</v>
      </c>
      <c r="AS675" s="101">
        <v>0</v>
      </c>
      <c r="AT675" s="102" t="s">
        <v>34</v>
      </c>
      <c r="AU675" s="109">
        <v>34</v>
      </c>
      <c r="AV675" s="100">
        <f>102.65-31.15</f>
        <v>71.5</v>
      </c>
      <c r="AW675" s="105">
        <v>2</v>
      </c>
      <c r="AX675" s="216">
        <f t="shared" si="387"/>
        <v>0.65457141450444811</v>
      </c>
      <c r="AY675" s="217">
        <f t="shared" si="388"/>
        <v>17882</v>
      </c>
      <c r="AZ675" s="107"/>
      <c r="BA675" s="94">
        <v>45561.822916666664</v>
      </c>
      <c r="BB675" s="94">
        <v>45561.826388888891</v>
      </c>
      <c r="BC675" s="94">
        <v>45561.871527777781</v>
      </c>
      <c r="BD675" s="94">
        <v>45562.175694444442</v>
      </c>
      <c r="BE675" s="95">
        <f t="shared" si="389"/>
        <v>0.35277777777810115</v>
      </c>
      <c r="BF675" s="95">
        <v>0.1111111111111111</v>
      </c>
      <c r="BG675" s="95">
        <v>1.3888888888888888E-2</v>
      </c>
      <c r="BH675" s="95">
        <f t="shared" si="390"/>
        <v>3.4722222262644209E-3</v>
      </c>
      <c r="BI675" s="95">
        <f t="shared" si="390"/>
        <v>4.5138888890505768E-2</v>
      </c>
      <c r="BJ675" s="95">
        <f t="shared" si="390"/>
        <v>0.30416666666133096</v>
      </c>
      <c r="BK675" s="95">
        <f t="shared" si="391"/>
        <v>0.34930555555183673</v>
      </c>
      <c r="BL675" s="95">
        <f t="shared" si="392"/>
        <v>0.22430555555183673</v>
      </c>
      <c r="BM675" s="95">
        <f t="shared" si="393"/>
        <v>0.14444444444476781</v>
      </c>
      <c r="BN675" s="110"/>
    </row>
    <row r="676" spans="1:66" s="8" customFormat="1" ht="12.75" customHeight="1" x14ac:dyDescent="0.25">
      <c r="A676" s="150">
        <v>615</v>
      </c>
      <c r="B676" s="150">
        <v>73</v>
      </c>
      <c r="C676" s="90">
        <v>17</v>
      </c>
      <c r="D676" s="111" t="s">
        <v>113</v>
      </c>
      <c r="E676" s="210" t="s">
        <v>759</v>
      </c>
      <c r="F676" s="150" t="s">
        <v>29</v>
      </c>
      <c r="G676" s="150" t="s">
        <v>8</v>
      </c>
      <c r="H676" s="150" t="s">
        <v>124</v>
      </c>
      <c r="I676" s="150" t="s">
        <v>888</v>
      </c>
      <c r="J676" s="151">
        <v>45561</v>
      </c>
      <c r="K676" s="135" t="s">
        <v>122</v>
      </c>
      <c r="L676" s="135">
        <v>461000485</v>
      </c>
      <c r="M676" s="151">
        <v>45562</v>
      </c>
      <c r="N676" s="152">
        <v>45562.104166666664</v>
      </c>
      <c r="O676" s="152">
        <v>45562.104166666664</v>
      </c>
      <c r="P676" s="152">
        <v>45562.107638888891</v>
      </c>
      <c r="Q676" s="152">
        <v>45562.3125</v>
      </c>
      <c r="R676" s="152" t="s">
        <v>118</v>
      </c>
      <c r="S676" s="152">
        <v>45562.375</v>
      </c>
      <c r="T676" s="152">
        <v>45562.395833333336</v>
      </c>
      <c r="U676" s="152">
        <v>45562.541666666664</v>
      </c>
      <c r="V676" s="219">
        <f t="shared" si="385"/>
        <v>0.20833333333575865</v>
      </c>
      <c r="W676" s="203">
        <v>0.20833333333333334</v>
      </c>
      <c r="X676" s="219">
        <f t="shared" si="386"/>
        <v>2.4253099528692701E-12</v>
      </c>
      <c r="Y676" s="96">
        <v>0</v>
      </c>
      <c r="Z676" s="96">
        <v>58</v>
      </c>
      <c r="AA676" s="96">
        <f t="shared" si="395"/>
        <v>58</v>
      </c>
      <c r="AB676" s="97">
        <f t="shared" si="396"/>
        <v>0</v>
      </c>
      <c r="AC676" s="97">
        <f t="shared" si="397"/>
        <v>4044.3900000000003</v>
      </c>
      <c r="AD676" s="98">
        <v>4044.39</v>
      </c>
      <c r="AE676" s="98">
        <v>4028.8</v>
      </c>
      <c r="AF676" s="98">
        <v>4064</v>
      </c>
      <c r="AG676" s="98">
        <f t="shared" si="398"/>
        <v>19.610000000000127</v>
      </c>
      <c r="AH676" s="99">
        <v>797.2</v>
      </c>
      <c r="AI676" s="100">
        <f t="shared" si="399"/>
        <v>3239820.8000000003</v>
      </c>
      <c r="AJ676" s="100">
        <f>(0*AH676)*2</f>
        <v>0</v>
      </c>
      <c r="AK676" s="100">
        <v>0</v>
      </c>
      <c r="AL676" s="100">
        <v>24140</v>
      </c>
      <c r="AM676" s="100">
        <v>0</v>
      </c>
      <c r="AN676" s="100">
        <v>0</v>
      </c>
      <c r="AO676" s="100">
        <v>0</v>
      </c>
      <c r="AP676" s="100">
        <f t="shared" si="400"/>
        <v>163199</v>
      </c>
      <c r="AQ676" s="101">
        <f t="shared" si="374"/>
        <v>3427160</v>
      </c>
      <c r="AR676" s="101">
        <v>0</v>
      </c>
      <c r="AS676" s="101">
        <v>0</v>
      </c>
      <c r="AT676" s="102" t="s">
        <v>34</v>
      </c>
      <c r="AU676" s="109">
        <v>26</v>
      </c>
      <c r="AV676" s="100">
        <f>59.61-30.11</f>
        <v>29.5</v>
      </c>
      <c r="AW676" s="105">
        <v>2</v>
      </c>
      <c r="AX676" s="216">
        <f t="shared" si="387"/>
        <v>0.48252952755905826</v>
      </c>
      <c r="AY676" s="217">
        <f t="shared" si="388"/>
        <v>15634</v>
      </c>
      <c r="AZ676" s="107"/>
      <c r="BA676" s="94">
        <v>45562.104166666664</v>
      </c>
      <c r="BB676" s="94">
        <v>45562.107638888891</v>
      </c>
      <c r="BC676" s="94">
        <v>45562.21875</v>
      </c>
      <c r="BD676" s="94">
        <v>45562.375</v>
      </c>
      <c r="BE676" s="95">
        <f t="shared" si="389"/>
        <v>0.27083333333575865</v>
      </c>
      <c r="BF676" s="95">
        <v>4.583333333333333E-2</v>
      </c>
      <c r="BG676" s="95">
        <v>9.0277777777777776E-2</v>
      </c>
      <c r="BH676" s="95">
        <f t="shared" si="390"/>
        <v>3.4722222262644209E-3</v>
      </c>
      <c r="BI676" s="95">
        <f t="shared" si="390"/>
        <v>0.11111111110949423</v>
      </c>
      <c r="BJ676" s="95">
        <f t="shared" si="390"/>
        <v>0.15625</v>
      </c>
      <c r="BK676" s="95">
        <f t="shared" si="391"/>
        <v>0.26736111110949423</v>
      </c>
      <c r="BL676" s="95">
        <f t="shared" si="392"/>
        <v>0.1312499999983831</v>
      </c>
      <c r="BM676" s="95">
        <f t="shared" si="393"/>
        <v>6.250000000242531E-2</v>
      </c>
      <c r="BN676" s="110"/>
    </row>
    <row r="677" spans="1:66" s="8" customFormat="1" ht="12.75" customHeight="1" x14ac:dyDescent="0.25">
      <c r="A677" s="150">
        <v>616</v>
      </c>
      <c r="B677" s="150">
        <v>74</v>
      </c>
      <c r="C677" s="90">
        <v>11</v>
      </c>
      <c r="D677" s="111" t="s">
        <v>113</v>
      </c>
      <c r="E677" s="210" t="s">
        <v>799</v>
      </c>
      <c r="F677" s="150" t="s">
        <v>32</v>
      </c>
      <c r="G677" s="150" t="s">
        <v>15</v>
      </c>
      <c r="H677" s="150" t="s">
        <v>135</v>
      </c>
      <c r="I677" s="150" t="s">
        <v>889</v>
      </c>
      <c r="J677" s="151">
        <v>45562</v>
      </c>
      <c r="K677" s="135" t="s">
        <v>117</v>
      </c>
      <c r="L677" s="135">
        <v>261006010</v>
      </c>
      <c r="M677" s="151">
        <v>45562</v>
      </c>
      <c r="N677" s="152">
        <v>45562.409722222219</v>
      </c>
      <c r="O677" s="152">
        <v>45562.409722222219</v>
      </c>
      <c r="P677" s="152">
        <v>45562.416666666664</v>
      </c>
      <c r="Q677" s="152">
        <v>45562.618055555555</v>
      </c>
      <c r="R677" s="152" t="s">
        <v>118</v>
      </c>
      <c r="S677" s="152" t="s">
        <v>118</v>
      </c>
      <c r="T677" s="152">
        <v>45562.645833333336</v>
      </c>
      <c r="U677" s="152">
        <v>45562.756944444445</v>
      </c>
      <c r="V677" s="219">
        <f t="shared" si="385"/>
        <v>0.20833333333575865</v>
      </c>
      <c r="W677" s="203">
        <v>0.20833333333333334</v>
      </c>
      <c r="X677" s="219">
        <f t="shared" si="386"/>
        <v>2.4253099528692701E-12</v>
      </c>
      <c r="Y677" s="96">
        <v>0</v>
      </c>
      <c r="Z677" s="96">
        <v>59</v>
      </c>
      <c r="AA677" s="96">
        <f t="shared" si="395"/>
        <v>59</v>
      </c>
      <c r="AB677" s="97">
        <f t="shared" si="396"/>
        <v>0</v>
      </c>
      <c r="AC677" s="97">
        <f t="shared" si="397"/>
        <v>4058.8400000000006</v>
      </c>
      <c r="AD677" s="98">
        <v>4058.84</v>
      </c>
      <c r="AE677" s="98">
        <v>4094.1</v>
      </c>
      <c r="AF677" s="98">
        <v>4105.2</v>
      </c>
      <c r="AG677" s="98">
        <f t="shared" si="398"/>
        <v>46.359999999999673</v>
      </c>
      <c r="AH677" s="99">
        <v>797.2</v>
      </c>
      <c r="AI677" s="100">
        <f t="shared" si="399"/>
        <v>3272665.44</v>
      </c>
      <c r="AJ677" s="100">
        <f>(0*AH677)*2</f>
        <v>0</v>
      </c>
      <c r="AK677" s="100">
        <v>0</v>
      </c>
      <c r="AL677" s="100">
        <v>24290</v>
      </c>
      <c r="AM677" s="100">
        <v>0</v>
      </c>
      <c r="AN677" s="100">
        <v>0</v>
      </c>
      <c r="AO677" s="100">
        <v>0</v>
      </c>
      <c r="AP677" s="100">
        <f t="shared" si="400"/>
        <v>164848</v>
      </c>
      <c r="AQ677" s="101">
        <f t="shared" si="374"/>
        <v>3461804</v>
      </c>
      <c r="AR677" s="101">
        <v>0</v>
      </c>
      <c r="AS677" s="101">
        <v>0</v>
      </c>
      <c r="AT677" s="102" t="s">
        <v>33</v>
      </c>
      <c r="AU677" s="109">
        <v>5</v>
      </c>
      <c r="AV677" s="100">
        <f>13.87-9.87</f>
        <v>4</v>
      </c>
      <c r="AW677" s="105">
        <v>0</v>
      </c>
      <c r="AX677" s="216">
        <f t="shared" si="387"/>
        <v>1.1292994251193529</v>
      </c>
      <c r="AY677" s="217">
        <f t="shared" si="388"/>
        <v>36959</v>
      </c>
      <c r="AZ677" s="107"/>
      <c r="BA677" s="94">
        <v>45562.409722222219</v>
      </c>
      <c r="BB677" s="94">
        <v>45562.416666666664</v>
      </c>
      <c r="BC677" s="94">
        <v>45562.416666666664</v>
      </c>
      <c r="BD677" s="94">
        <v>45562.630555555559</v>
      </c>
      <c r="BE677" s="95">
        <f t="shared" si="389"/>
        <v>0.22083333334012423</v>
      </c>
      <c r="BF677" s="95">
        <v>4.3749999999999997E-2</v>
      </c>
      <c r="BG677" s="95">
        <v>5.8333333333333334E-2</v>
      </c>
      <c r="BH677" s="95">
        <f t="shared" si="390"/>
        <v>6.9444444452528842E-3</v>
      </c>
      <c r="BI677" s="95">
        <f t="shared" si="390"/>
        <v>0</v>
      </c>
      <c r="BJ677" s="95">
        <f t="shared" si="390"/>
        <v>0.21388888889487134</v>
      </c>
      <c r="BK677" s="95">
        <f t="shared" si="391"/>
        <v>0.21388888889487134</v>
      </c>
      <c r="BL677" s="95">
        <f t="shared" si="392"/>
        <v>0.111805555561538</v>
      </c>
      <c r="BM677" s="95">
        <f t="shared" si="393"/>
        <v>1.2500000006790885E-2</v>
      </c>
      <c r="BN677" s="110"/>
    </row>
    <row r="678" spans="1:66" s="8" customFormat="1" ht="12.75" customHeight="1" x14ac:dyDescent="0.25">
      <c r="A678" s="150">
        <v>617</v>
      </c>
      <c r="B678" s="150">
        <v>75</v>
      </c>
      <c r="C678" s="90">
        <v>5</v>
      </c>
      <c r="D678" s="111" t="s">
        <v>113</v>
      </c>
      <c r="E678" s="210" t="s">
        <v>863</v>
      </c>
      <c r="F678" s="150" t="s">
        <v>32</v>
      </c>
      <c r="G678" s="150" t="s">
        <v>8</v>
      </c>
      <c r="H678" s="150" t="s">
        <v>779</v>
      </c>
      <c r="I678" s="150" t="s">
        <v>890</v>
      </c>
      <c r="J678" s="151">
        <v>45559</v>
      </c>
      <c r="K678" s="135" t="s">
        <v>122</v>
      </c>
      <c r="L678" s="135">
        <v>281000244</v>
      </c>
      <c r="M678" s="151">
        <v>45563</v>
      </c>
      <c r="N678" s="152">
        <v>45562.635416666664</v>
      </c>
      <c r="O678" s="152">
        <v>45562.635416666664</v>
      </c>
      <c r="P678" s="152">
        <v>45562.645833333336</v>
      </c>
      <c r="Q678" s="152">
        <v>45562.822916666664</v>
      </c>
      <c r="R678" s="152" t="s">
        <v>118</v>
      </c>
      <c r="S678" s="152" t="s">
        <v>118</v>
      </c>
      <c r="T678" s="152">
        <v>45562.854166666664</v>
      </c>
      <c r="U678" s="152">
        <v>45562.932638888888</v>
      </c>
      <c r="V678" s="219">
        <f t="shared" si="385"/>
        <v>0.1875</v>
      </c>
      <c r="W678" s="203">
        <v>0.20833333333333334</v>
      </c>
      <c r="X678" s="219" t="str">
        <f t="shared" si="386"/>
        <v>00:00</v>
      </c>
      <c r="Y678" s="96">
        <v>0</v>
      </c>
      <c r="Z678" s="96">
        <v>58</v>
      </c>
      <c r="AA678" s="96">
        <f t="shared" si="395"/>
        <v>58</v>
      </c>
      <c r="AB678" s="97">
        <f t="shared" si="396"/>
        <v>0</v>
      </c>
      <c r="AC678" s="97">
        <f t="shared" si="397"/>
        <v>3910.7399999999993</v>
      </c>
      <c r="AD678" s="98">
        <v>3910.74</v>
      </c>
      <c r="AE678" s="98">
        <v>4014.2</v>
      </c>
      <c r="AF678" s="98">
        <v>4015.2</v>
      </c>
      <c r="AG678" s="98">
        <f t="shared" si="398"/>
        <v>104.46000000000004</v>
      </c>
      <c r="AH678" s="99">
        <v>1435.6</v>
      </c>
      <c r="AI678" s="100">
        <f t="shared" si="399"/>
        <v>5764221.1199999992</v>
      </c>
      <c r="AJ678" s="100">
        <f>(0*AH678)*2</f>
        <v>0</v>
      </c>
      <c r="AK678" s="100">
        <v>0</v>
      </c>
      <c r="AL678" s="100">
        <v>0</v>
      </c>
      <c r="AM678" s="100">
        <v>0</v>
      </c>
      <c r="AN678" s="100">
        <v>0</v>
      </c>
      <c r="AO678" s="100">
        <v>0</v>
      </c>
      <c r="AP678" s="100">
        <f t="shared" si="400"/>
        <v>288212</v>
      </c>
      <c r="AQ678" s="101">
        <f t="shared" si="374"/>
        <v>6052434</v>
      </c>
      <c r="AR678" s="101">
        <v>0</v>
      </c>
      <c r="AS678" s="101">
        <v>0</v>
      </c>
      <c r="AT678" s="102" t="s">
        <v>34</v>
      </c>
      <c r="AU678" s="109" t="s">
        <v>118</v>
      </c>
      <c r="AV678" s="100">
        <v>0</v>
      </c>
      <c r="AW678" s="105">
        <v>0</v>
      </c>
      <c r="AX678" s="216">
        <f t="shared" si="387"/>
        <v>2.6016138673042448</v>
      </c>
      <c r="AY678" s="217">
        <f t="shared" si="388"/>
        <v>149963</v>
      </c>
      <c r="AZ678" s="107"/>
      <c r="BA678" s="94">
        <v>45562.635416666664</v>
      </c>
      <c r="BB678" s="94">
        <v>45562.645833333336</v>
      </c>
      <c r="BC678" s="94">
        <v>45562.658333333333</v>
      </c>
      <c r="BD678" s="94">
        <v>45562.779166666667</v>
      </c>
      <c r="BE678" s="95">
        <f t="shared" si="389"/>
        <v>0.14375000000291038</v>
      </c>
      <c r="BF678" s="95">
        <v>8.3333333333333332E-3</v>
      </c>
      <c r="BG678" s="95">
        <v>4.1666666666666666E-3</v>
      </c>
      <c r="BH678" s="95">
        <f t="shared" si="390"/>
        <v>1.0416666671517305E-2</v>
      </c>
      <c r="BI678" s="95">
        <f t="shared" si="390"/>
        <v>1.2499999997089617E-2</v>
      </c>
      <c r="BJ678" s="95">
        <f t="shared" si="390"/>
        <v>0.12083333333430346</v>
      </c>
      <c r="BK678" s="95">
        <f t="shared" si="391"/>
        <v>0.13333333333139308</v>
      </c>
      <c r="BL678" s="95">
        <f t="shared" si="392"/>
        <v>0.12083333333139308</v>
      </c>
      <c r="BM678" s="95" t="str">
        <f t="shared" si="393"/>
        <v>00:00</v>
      </c>
      <c r="BN678" s="110"/>
    </row>
    <row r="679" spans="1:66" s="8" customFormat="1" ht="12.75" customHeight="1" x14ac:dyDescent="0.25">
      <c r="A679" s="150">
        <v>618</v>
      </c>
      <c r="B679" s="150">
        <v>76</v>
      </c>
      <c r="C679" s="90">
        <v>2</v>
      </c>
      <c r="D679" s="111" t="s">
        <v>113</v>
      </c>
      <c r="E679" s="210" t="s">
        <v>849</v>
      </c>
      <c r="F679" s="150" t="s">
        <v>41</v>
      </c>
      <c r="G679" s="150" t="s">
        <v>12</v>
      </c>
      <c r="H679" s="150" t="s">
        <v>115</v>
      </c>
      <c r="I679" s="150" t="s">
        <v>891</v>
      </c>
      <c r="J679" s="151">
        <v>45562</v>
      </c>
      <c r="K679" s="135" t="s">
        <v>117</v>
      </c>
      <c r="L679" s="135">
        <v>282001027</v>
      </c>
      <c r="M679" s="151">
        <v>45563</v>
      </c>
      <c r="N679" s="152">
        <v>45562.982638888891</v>
      </c>
      <c r="O679" s="152">
        <v>45562.96875</v>
      </c>
      <c r="P679" s="152">
        <v>45562.996527777781</v>
      </c>
      <c r="Q679" s="152">
        <v>45563.166666666664</v>
      </c>
      <c r="R679" s="152">
        <v>45562.982638888891</v>
      </c>
      <c r="S679" s="152" t="s">
        <v>118</v>
      </c>
      <c r="T679" s="152">
        <v>45563.208333333336</v>
      </c>
      <c r="U679" s="152">
        <v>45563.334027777775</v>
      </c>
      <c r="V679" s="219">
        <f t="shared" si="385"/>
        <v>0.19791666666424135</v>
      </c>
      <c r="W679" s="203">
        <v>0.20833333333333334</v>
      </c>
      <c r="X679" s="219" t="str">
        <f t="shared" si="386"/>
        <v>00:00</v>
      </c>
      <c r="Y679" s="96">
        <v>0</v>
      </c>
      <c r="Z679" s="96">
        <v>58</v>
      </c>
      <c r="AA679" s="96">
        <f t="shared" si="395"/>
        <v>58</v>
      </c>
      <c r="AB679" s="97">
        <f t="shared" si="396"/>
        <v>0</v>
      </c>
      <c r="AC679" s="97">
        <f t="shared" si="397"/>
        <v>3987.1900000000005</v>
      </c>
      <c r="AD679" s="98">
        <v>3987.19</v>
      </c>
      <c r="AE679" s="98">
        <v>4044</v>
      </c>
      <c r="AF679" s="98">
        <v>4047.8</v>
      </c>
      <c r="AG679" s="98">
        <f t="shared" si="398"/>
        <v>60.610000000000127</v>
      </c>
      <c r="AH679" s="99">
        <v>1586.7</v>
      </c>
      <c r="AI679" s="100">
        <f t="shared" si="399"/>
        <v>6422644.2600000007</v>
      </c>
      <c r="AJ679" s="100">
        <f>(0.2*AH679)*2</f>
        <v>634.68000000000006</v>
      </c>
      <c r="AK679" s="100">
        <v>0</v>
      </c>
      <c r="AL679" s="100">
        <v>0</v>
      </c>
      <c r="AM679" s="100">
        <v>0</v>
      </c>
      <c r="AN679" s="100">
        <v>0</v>
      </c>
      <c r="AO679" s="100">
        <f>IFERROR(AF679*20+(((AJ679/AH679)/2)*20),0)</f>
        <v>80960</v>
      </c>
      <c r="AP679" s="100">
        <f t="shared" si="400"/>
        <v>325212</v>
      </c>
      <c r="AQ679" s="101">
        <f t="shared" si="374"/>
        <v>6829451</v>
      </c>
      <c r="AR679" s="101">
        <v>0</v>
      </c>
      <c r="AS679" s="101">
        <v>0</v>
      </c>
      <c r="AT679" s="102" t="s">
        <v>34</v>
      </c>
      <c r="AU679" s="109" t="s">
        <v>118</v>
      </c>
      <c r="AV679" s="100">
        <v>0</v>
      </c>
      <c r="AW679" s="105">
        <v>0</v>
      </c>
      <c r="AX679" s="216">
        <f t="shared" si="387"/>
        <v>1.4973565887642699</v>
      </c>
      <c r="AY679" s="217">
        <f t="shared" si="388"/>
        <v>96170</v>
      </c>
      <c r="AZ679" s="107"/>
      <c r="BA679" s="94">
        <v>45562.982638888891</v>
      </c>
      <c r="BB679" s="94">
        <v>45562.996527777781</v>
      </c>
      <c r="BC679" s="94">
        <v>45563</v>
      </c>
      <c r="BD679" s="94">
        <v>45563.182638888888</v>
      </c>
      <c r="BE679" s="95">
        <f t="shared" si="389"/>
        <v>0.19999999999708962</v>
      </c>
      <c r="BF679" s="95">
        <v>2.5694444444444443E-2</v>
      </c>
      <c r="BG679" s="95">
        <v>3.472222222222222E-3</v>
      </c>
      <c r="BH679" s="95">
        <f t="shared" si="390"/>
        <v>1.3888888890505768E-2</v>
      </c>
      <c r="BI679" s="95">
        <f t="shared" si="390"/>
        <v>3.4722222189884633E-3</v>
      </c>
      <c r="BJ679" s="95">
        <f t="shared" si="390"/>
        <v>0.18263888888759539</v>
      </c>
      <c r="BK679" s="95">
        <f t="shared" si="391"/>
        <v>0.18611111110658385</v>
      </c>
      <c r="BL679" s="95">
        <f t="shared" si="392"/>
        <v>0.1569444444399172</v>
      </c>
      <c r="BM679" s="95" t="str">
        <f t="shared" si="393"/>
        <v>00:00</v>
      </c>
      <c r="BN679" s="110"/>
    </row>
    <row r="680" spans="1:66" s="8" customFormat="1" ht="12.75" customHeight="1" x14ac:dyDescent="0.25">
      <c r="A680" s="150">
        <v>619</v>
      </c>
      <c r="B680" s="150">
        <v>77</v>
      </c>
      <c r="C680" s="90">
        <v>14</v>
      </c>
      <c r="D680" s="111" t="s">
        <v>148</v>
      </c>
      <c r="E680" s="210" t="s">
        <v>840</v>
      </c>
      <c r="F680" s="150" t="s">
        <v>19</v>
      </c>
      <c r="G680" s="150" t="s">
        <v>17</v>
      </c>
      <c r="H680" s="150" t="s">
        <v>150</v>
      </c>
      <c r="I680" s="150" t="s">
        <v>892</v>
      </c>
      <c r="J680" s="151">
        <v>45561</v>
      </c>
      <c r="K680" s="135" t="s">
        <v>122</v>
      </c>
      <c r="L680" s="135">
        <v>461000486</v>
      </c>
      <c r="M680" s="151">
        <v>45563</v>
      </c>
      <c r="N680" s="152">
        <v>45563.166666666664</v>
      </c>
      <c r="O680" s="152">
        <v>45563.166666666664</v>
      </c>
      <c r="P680" s="152">
        <v>45563.170138888891</v>
      </c>
      <c r="Q680" s="152">
        <v>45563.375</v>
      </c>
      <c r="R680" s="152" t="s">
        <v>118</v>
      </c>
      <c r="S680" s="152">
        <v>45563.4375</v>
      </c>
      <c r="T680" s="152">
        <v>45563.458333333336</v>
      </c>
      <c r="U680" s="152">
        <v>45563.614583333336</v>
      </c>
      <c r="V680" s="219">
        <f t="shared" si="385"/>
        <v>0.20833333333575865</v>
      </c>
      <c r="W680" s="203">
        <v>0.20833333333333334</v>
      </c>
      <c r="X680" s="219">
        <f t="shared" si="386"/>
        <v>2.4253099528692701E-12</v>
      </c>
      <c r="Y680" s="96">
        <v>4</v>
      </c>
      <c r="Z680" s="96">
        <v>55</v>
      </c>
      <c r="AA680" s="96">
        <f t="shared" si="395"/>
        <v>59</v>
      </c>
      <c r="AB680" s="97">
        <f t="shared" si="396"/>
        <v>274.86169491525425</v>
      </c>
      <c r="AC680" s="97">
        <f t="shared" si="397"/>
        <v>3779.3483050847458</v>
      </c>
      <c r="AD680" s="98">
        <v>4054.21</v>
      </c>
      <c r="AE680" s="98">
        <v>4104</v>
      </c>
      <c r="AF680" s="98">
        <v>4117</v>
      </c>
      <c r="AG680" s="98">
        <f t="shared" si="398"/>
        <v>62.789999999999964</v>
      </c>
      <c r="AH680" s="99">
        <v>672.5</v>
      </c>
      <c r="AI680" s="100">
        <f t="shared" si="399"/>
        <v>2768682.5</v>
      </c>
      <c r="AJ680" s="100">
        <f t="shared" ref="AJ680:AJ693" si="401">(0*AH680)*2</f>
        <v>0</v>
      </c>
      <c r="AK680" s="100">
        <v>0</v>
      </c>
      <c r="AL680" s="100">
        <v>24290</v>
      </c>
      <c r="AM680" s="100">
        <v>0</v>
      </c>
      <c r="AN680" s="100">
        <v>0</v>
      </c>
      <c r="AO680" s="100">
        <v>0</v>
      </c>
      <c r="AP680" s="100">
        <f t="shared" si="400"/>
        <v>139649</v>
      </c>
      <c r="AQ680" s="101">
        <f t="shared" si="374"/>
        <v>2932622</v>
      </c>
      <c r="AR680" s="101">
        <v>0</v>
      </c>
      <c r="AS680" s="101">
        <v>0</v>
      </c>
      <c r="AT680" s="102" t="s">
        <v>33</v>
      </c>
      <c r="AU680" s="109">
        <v>8</v>
      </c>
      <c r="AV680" s="100">
        <f>19.1-10.6</f>
        <v>8.5000000000000018</v>
      </c>
      <c r="AW680" s="105">
        <v>2</v>
      </c>
      <c r="AX680" s="216">
        <f t="shared" si="387"/>
        <v>1.5251396648044684</v>
      </c>
      <c r="AY680" s="217">
        <f t="shared" si="388"/>
        <v>42227</v>
      </c>
      <c r="AZ680" s="107"/>
      <c r="BA680" s="94">
        <v>45563.166666666664</v>
      </c>
      <c r="BB680" s="94">
        <v>45563.170138888891</v>
      </c>
      <c r="BC680" s="94">
        <v>45563.215277777781</v>
      </c>
      <c r="BD680" s="94">
        <v>45563.4375</v>
      </c>
      <c r="BE680" s="95">
        <f t="shared" si="389"/>
        <v>0.27083333333575865</v>
      </c>
      <c r="BF680" s="95">
        <v>7.6388888888888895E-2</v>
      </c>
      <c r="BG680" s="95">
        <v>3.4027777777777775E-2</v>
      </c>
      <c r="BH680" s="95">
        <f t="shared" si="390"/>
        <v>3.4722222262644209E-3</v>
      </c>
      <c r="BI680" s="95">
        <f t="shared" si="390"/>
        <v>4.5138888890505768E-2</v>
      </c>
      <c r="BJ680" s="95">
        <f t="shared" si="390"/>
        <v>0.22222222221898846</v>
      </c>
      <c r="BK680" s="95">
        <f t="shared" si="391"/>
        <v>0.26736111110949423</v>
      </c>
      <c r="BL680" s="95">
        <f t="shared" si="392"/>
        <v>0.15694444444282757</v>
      </c>
      <c r="BM680" s="95">
        <f t="shared" si="393"/>
        <v>6.250000000242531E-2</v>
      </c>
      <c r="BN680" s="110"/>
    </row>
    <row r="681" spans="1:66" s="8" customFormat="1" ht="12.75" customHeight="1" x14ac:dyDescent="0.25">
      <c r="A681" s="150">
        <v>620</v>
      </c>
      <c r="B681" s="150">
        <v>78</v>
      </c>
      <c r="C681" s="90">
        <v>12</v>
      </c>
      <c r="D681" s="111" t="s">
        <v>113</v>
      </c>
      <c r="E681" s="210" t="s">
        <v>799</v>
      </c>
      <c r="F681" s="150" t="s">
        <v>32</v>
      </c>
      <c r="G681" s="150" t="s">
        <v>15</v>
      </c>
      <c r="H681" s="150" t="s">
        <v>146</v>
      </c>
      <c r="I681" s="150" t="s">
        <v>893</v>
      </c>
      <c r="J681" s="151">
        <v>45563</v>
      </c>
      <c r="K681" s="135" t="s">
        <v>117</v>
      </c>
      <c r="L681" s="135">
        <v>261006011</v>
      </c>
      <c r="M681" s="151">
        <v>45563</v>
      </c>
      <c r="N681" s="152">
        <v>45563.493055555555</v>
      </c>
      <c r="O681" s="152">
        <v>45563.493055555555</v>
      </c>
      <c r="P681" s="152">
        <v>45563.5</v>
      </c>
      <c r="Q681" s="152">
        <v>45563.6875</v>
      </c>
      <c r="R681" s="152" t="s">
        <v>118</v>
      </c>
      <c r="S681" s="152" t="s">
        <v>118</v>
      </c>
      <c r="T681" s="152">
        <v>45563.729166666664</v>
      </c>
      <c r="U681" s="152">
        <v>45563.815972222219</v>
      </c>
      <c r="V681" s="219">
        <f t="shared" si="385"/>
        <v>0.19444444444525288</v>
      </c>
      <c r="W681" s="203">
        <v>0.20833333333333334</v>
      </c>
      <c r="X681" s="219" t="str">
        <f t="shared" si="386"/>
        <v>00:00</v>
      </c>
      <c r="Y681" s="96">
        <v>0</v>
      </c>
      <c r="Z681" s="96">
        <v>59</v>
      </c>
      <c r="AA681" s="96">
        <f t="shared" si="395"/>
        <v>59</v>
      </c>
      <c r="AB681" s="97">
        <f t="shared" si="396"/>
        <v>0</v>
      </c>
      <c r="AC681" s="97">
        <f t="shared" si="397"/>
        <v>4013.24</v>
      </c>
      <c r="AD681" s="98">
        <v>4013.24</v>
      </c>
      <c r="AE681" s="98">
        <v>4087.3</v>
      </c>
      <c r="AF681" s="98">
        <v>4088</v>
      </c>
      <c r="AG681" s="98">
        <f t="shared" si="398"/>
        <v>74.760000000000218</v>
      </c>
      <c r="AH681" s="99">
        <v>1398.7</v>
      </c>
      <c r="AI681" s="100">
        <f t="shared" si="399"/>
        <v>5717885.6000000006</v>
      </c>
      <c r="AJ681" s="100">
        <f t="shared" si="401"/>
        <v>0</v>
      </c>
      <c r="AK681" s="100">
        <v>0</v>
      </c>
      <c r="AL681" s="100">
        <v>0</v>
      </c>
      <c r="AM681" s="100">
        <v>0</v>
      </c>
      <c r="AN681" s="100">
        <v>0</v>
      </c>
      <c r="AO681" s="100">
        <v>0</v>
      </c>
      <c r="AP681" s="100">
        <f t="shared" si="400"/>
        <v>285895</v>
      </c>
      <c r="AQ681" s="101">
        <f t="shared" si="374"/>
        <v>6003781</v>
      </c>
      <c r="AR681" s="101">
        <v>0</v>
      </c>
      <c r="AS681" s="101">
        <v>0</v>
      </c>
      <c r="AT681" s="102" t="s">
        <v>33</v>
      </c>
      <c r="AU681" s="109" t="s">
        <v>118</v>
      </c>
      <c r="AV681" s="100">
        <v>0</v>
      </c>
      <c r="AW681" s="105">
        <v>0</v>
      </c>
      <c r="AX681" s="216">
        <f t="shared" si="387"/>
        <v>1.8287671232876765</v>
      </c>
      <c r="AY681" s="217">
        <f t="shared" si="388"/>
        <v>104567</v>
      </c>
      <c r="AZ681" s="107"/>
      <c r="BA681" s="94">
        <v>45563.493055555555</v>
      </c>
      <c r="BB681" s="94">
        <v>45563.5</v>
      </c>
      <c r="BC681" s="94">
        <v>45563.510416666664</v>
      </c>
      <c r="BD681" s="94">
        <v>45563.666666666664</v>
      </c>
      <c r="BE681" s="95">
        <f t="shared" si="389"/>
        <v>0.17361111110949423</v>
      </c>
      <c r="BF681" s="95">
        <v>1.8749999999999999E-2</v>
      </c>
      <c r="BG681" s="95">
        <v>4.1666666666666664E-2</v>
      </c>
      <c r="BH681" s="95">
        <f t="shared" si="390"/>
        <v>6.9444444452528842E-3</v>
      </c>
      <c r="BI681" s="95">
        <f t="shared" si="390"/>
        <v>1.0416666664241347E-2</v>
      </c>
      <c r="BJ681" s="95">
        <f t="shared" si="390"/>
        <v>0.15625</v>
      </c>
      <c r="BK681" s="95">
        <f t="shared" si="391"/>
        <v>0.16666666666424135</v>
      </c>
      <c r="BL681" s="95">
        <f t="shared" si="392"/>
        <v>0.1062499999975747</v>
      </c>
      <c r="BM681" s="95" t="str">
        <f t="shared" si="393"/>
        <v>00:00</v>
      </c>
      <c r="BN681" s="110"/>
    </row>
    <row r="682" spans="1:66" s="8" customFormat="1" ht="12.75" customHeight="1" x14ac:dyDescent="0.25">
      <c r="A682" s="150">
        <v>621</v>
      </c>
      <c r="B682" s="150">
        <v>79</v>
      </c>
      <c r="C682" s="90">
        <v>15</v>
      </c>
      <c r="D682" s="111" t="s">
        <v>148</v>
      </c>
      <c r="E682" s="210" t="s">
        <v>840</v>
      </c>
      <c r="F682" s="150" t="s">
        <v>19</v>
      </c>
      <c r="G682" s="150" t="s">
        <v>17</v>
      </c>
      <c r="H682" s="150" t="s">
        <v>150</v>
      </c>
      <c r="I682" s="150" t="s">
        <v>894</v>
      </c>
      <c r="J682" s="151">
        <v>45562</v>
      </c>
      <c r="K682" s="135" t="s">
        <v>122</v>
      </c>
      <c r="L682" s="135">
        <v>461000487</v>
      </c>
      <c r="M682" s="151">
        <v>45564</v>
      </c>
      <c r="N682" s="152">
        <v>45563.708333333336</v>
      </c>
      <c r="O682" s="152">
        <v>45563.708333333336</v>
      </c>
      <c r="P682" s="152">
        <v>45563.71875</v>
      </c>
      <c r="Q682" s="152">
        <v>45563.916666666664</v>
      </c>
      <c r="R682" s="152" t="s">
        <v>118</v>
      </c>
      <c r="S682" s="152">
        <v>45563.972222222219</v>
      </c>
      <c r="T682" s="152">
        <v>45564.154861111114</v>
      </c>
      <c r="U682" s="152">
        <v>45564.3125</v>
      </c>
      <c r="V682" s="219">
        <f t="shared" si="385"/>
        <v>0.20833333332848269</v>
      </c>
      <c r="W682" s="203">
        <v>0.20833333333333334</v>
      </c>
      <c r="X682" s="219" t="str">
        <f t="shared" si="386"/>
        <v>00:00</v>
      </c>
      <c r="Y682" s="96">
        <v>0</v>
      </c>
      <c r="Z682" s="96">
        <v>59</v>
      </c>
      <c r="AA682" s="96">
        <f t="shared" si="395"/>
        <v>59</v>
      </c>
      <c r="AB682" s="97">
        <f t="shared" si="396"/>
        <v>0</v>
      </c>
      <c r="AC682" s="97">
        <f t="shared" si="397"/>
        <v>4050.56</v>
      </c>
      <c r="AD682" s="98">
        <v>4050.56</v>
      </c>
      <c r="AE682" s="98">
        <v>4105.8</v>
      </c>
      <c r="AF682" s="98">
        <v>4113.6000000000004</v>
      </c>
      <c r="AG682" s="98">
        <f t="shared" si="398"/>
        <v>63.040000000000418</v>
      </c>
      <c r="AH682" s="99">
        <v>672.5</v>
      </c>
      <c r="AI682" s="100">
        <f t="shared" si="399"/>
        <v>2766396.0000000005</v>
      </c>
      <c r="AJ682" s="100">
        <f t="shared" si="401"/>
        <v>0</v>
      </c>
      <c r="AK682" s="100">
        <v>0</v>
      </c>
      <c r="AL682" s="100">
        <v>24290</v>
      </c>
      <c r="AM682" s="100">
        <v>0</v>
      </c>
      <c r="AN682" s="100">
        <v>0</v>
      </c>
      <c r="AO682" s="100">
        <v>0</v>
      </c>
      <c r="AP682" s="100">
        <f t="shared" si="400"/>
        <v>139535</v>
      </c>
      <c r="AQ682" s="101">
        <f t="shared" si="374"/>
        <v>2930221</v>
      </c>
      <c r="AR682" s="101">
        <v>0</v>
      </c>
      <c r="AS682" s="101">
        <v>0</v>
      </c>
      <c r="AT682" s="102" t="s">
        <v>33</v>
      </c>
      <c r="AU682" s="109">
        <v>1</v>
      </c>
      <c r="AV682" s="100">
        <f>8.83-7.33</f>
        <v>1.5</v>
      </c>
      <c r="AW682" s="105">
        <v>2</v>
      </c>
      <c r="AX682" s="216">
        <f t="shared" si="387"/>
        <v>1.5324776351614258</v>
      </c>
      <c r="AY682" s="217">
        <f t="shared" si="388"/>
        <v>42395</v>
      </c>
      <c r="AZ682" s="107"/>
      <c r="BA682" s="94">
        <v>45563.708333333336</v>
      </c>
      <c r="BB682" s="94">
        <v>45563.71875</v>
      </c>
      <c r="BC682" s="94">
        <v>45563.729166666664</v>
      </c>
      <c r="BD682" s="94">
        <v>45563.945833333331</v>
      </c>
      <c r="BE682" s="95">
        <f t="shared" si="389"/>
        <v>0.23749999999563443</v>
      </c>
      <c r="BF682" s="95">
        <v>1.6666666666666666E-2</v>
      </c>
      <c r="BG682" s="95">
        <v>1.8749999999999999E-2</v>
      </c>
      <c r="BH682" s="95">
        <f t="shared" si="390"/>
        <v>1.0416666664241347E-2</v>
      </c>
      <c r="BI682" s="95">
        <f t="shared" si="390"/>
        <v>1.0416666664241347E-2</v>
      </c>
      <c r="BJ682" s="95">
        <f t="shared" si="390"/>
        <v>0.21666666666715173</v>
      </c>
      <c r="BK682" s="95">
        <f t="shared" si="391"/>
        <v>0.22708333333139308</v>
      </c>
      <c r="BL682" s="95">
        <f t="shared" si="392"/>
        <v>0.19166666666472643</v>
      </c>
      <c r="BM682" s="95">
        <f t="shared" si="393"/>
        <v>2.9166666662301083E-2</v>
      </c>
      <c r="BN682" s="110"/>
    </row>
    <row r="683" spans="1:66" s="8" customFormat="1" ht="12.75" customHeight="1" x14ac:dyDescent="0.25">
      <c r="A683" s="150">
        <v>622</v>
      </c>
      <c r="B683" s="150">
        <v>80</v>
      </c>
      <c r="C683" s="90">
        <v>8</v>
      </c>
      <c r="D683" s="111" t="s">
        <v>113</v>
      </c>
      <c r="E683" s="210" t="s">
        <v>771</v>
      </c>
      <c r="F683" s="150" t="s">
        <v>27</v>
      </c>
      <c r="G683" s="150" t="s">
        <v>12</v>
      </c>
      <c r="H683" s="150" t="s">
        <v>115</v>
      </c>
      <c r="I683" s="150" t="s">
        <v>895</v>
      </c>
      <c r="J683" s="151">
        <v>45564</v>
      </c>
      <c r="K683" s="135" t="s">
        <v>117</v>
      </c>
      <c r="L683" s="135">
        <v>282001028</v>
      </c>
      <c r="M683" s="151">
        <v>45565</v>
      </c>
      <c r="N683" s="152">
        <v>45564.243055555555</v>
      </c>
      <c r="O683" s="152">
        <v>45564.243055555555</v>
      </c>
      <c r="P683" s="152">
        <v>45564.25</v>
      </c>
      <c r="Q683" s="152">
        <v>45564.451388888891</v>
      </c>
      <c r="R683" s="152" t="s">
        <v>118</v>
      </c>
      <c r="S683" s="152" t="s">
        <v>118</v>
      </c>
      <c r="T683" s="152">
        <v>45564.479166666664</v>
      </c>
      <c r="U683" s="152">
        <v>45564.568749999999</v>
      </c>
      <c r="V683" s="219">
        <f t="shared" si="385"/>
        <v>0.20833333333575865</v>
      </c>
      <c r="W683" s="203">
        <v>0.20833333333333334</v>
      </c>
      <c r="X683" s="219">
        <f t="shared" si="386"/>
        <v>2.4253099528692701E-12</v>
      </c>
      <c r="Y683" s="96">
        <v>0</v>
      </c>
      <c r="Z683" s="96">
        <v>59</v>
      </c>
      <c r="AA683" s="96">
        <f t="shared" si="395"/>
        <v>59</v>
      </c>
      <c r="AB683" s="97">
        <f t="shared" si="396"/>
        <v>0</v>
      </c>
      <c r="AC683" s="97">
        <f t="shared" si="397"/>
        <v>4020.5199999999995</v>
      </c>
      <c r="AD683" s="98">
        <v>4020.52</v>
      </c>
      <c r="AE683" s="98">
        <v>4109.8</v>
      </c>
      <c r="AF683" s="98">
        <v>4111</v>
      </c>
      <c r="AG683" s="98">
        <f t="shared" si="398"/>
        <v>90.480000000000018</v>
      </c>
      <c r="AH683" s="99">
        <v>1586.7</v>
      </c>
      <c r="AI683" s="100">
        <f t="shared" si="399"/>
        <v>6522923.7000000002</v>
      </c>
      <c r="AJ683" s="100">
        <f t="shared" si="401"/>
        <v>0</v>
      </c>
      <c r="AK683" s="100">
        <v>0</v>
      </c>
      <c r="AL683" s="100">
        <v>0</v>
      </c>
      <c r="AM683" s="100">
        <v>0</v>
      </c>
      <c r="AN683" s="100">
        <v>0</v>
      </c>
      <c r="AO683" s="100">
        <f>IFERROR(AF683*20+(((AJ683/AH683)/2)*20),0)</f>
        <v>82220</v>
      </c>
      <c r="AP683" s="100">
        <f t="shared" si="400"/>
        <v>330258</v>
      </c>
      <c r="AQ683" s="101">
        <f t="shared" si="374"/>
        <v>6935402</v>
      </c>
      <c r="AR683" s="101">
        <v>0</v>
      </c>
      <c r="AS683" s="101">
        <v>0</v>
      </c>
      <c r="AT683" s="102" t="s">
        <v>33</v>
      </c>
      <c r="AU683" s="109" t="s">
        <v>118</v>
      </c>
      <c r="AV683" s="100">
        <v>0</v>
      </c>
      <c r="AW683" s="105">
        <v>0</v>
      </c>
      <c r="AX683" s="216">
        <f t="shared" si="387"/>
        <v>2.2009243493067383</v>
      </c>
      <c r="AY683" s="217">
        <f t="shared" si="388"/>
        <v>143565</v>
      </c>
      <c r="AZ683" s="107"/>
      <c r="BA683" s="94">
        <v>45564.243055555555</v>
      </c>
      <c r="BB683" s="94">
        <v>45564.25</v>
      </c>
      <c r="BC683" s="94">
        <v>45564.25</v>
      </c>
      <c r="BD683" s="94">
        <v>45564.416666666664</v>
      </c>
      <c r="BE683" s="95">
        <f t="shared" si="389"/>
        <v>0.17361111110949423</v>
      </c>
      <c r="BF683" s="95">
        <v>9.0277777777777769E-3</v>
      </c>
      <c r="BG683" s="95">
        <v>2.5000000000000001E-2</v>
      </c>
      <c r="BH683" s="95">
        <f t="shared" si="390"/>
        <v>6.9444444452528842E-3</v>
      </c>
      <c r="BI683" s="95">
        <f t="shared" si="390"/>
        <v>0</v>
      </c>
      <c r="BJ683" s="95">
        <f t="shared" si="390"/>
        <v>0.16666666666424135</v>
      </c>
      <c r="BK683" s="95">
        <f t="shared" si="391"/>
        <v>0.16666666666424135</v>
      </c>
      <c r="BL683" s="95">
        <f t="shared" si="392"/>
        <v>0.13263888888646358</v>
      </c>
      <c r="BM683" s="95" t="str">
        <f t="shared" si="393"/>
        <v>00:00</v>
      </c>
      <c r="BN683" s="110"/>
    </row>
    <row r="684" spans="1:66" s="8" customFormat="1" ht="12.75" customHeight="1" x14ac:dyDescent="0.25">
      <c r="A684" s="150">
        <v>623</v>
      </c>
      <c r="B684" s="150">
        <v>81</v>
      </c>
      <c r="C684" s="90">
        <v>13</v>
      </c>
      <c r="D684" s="111" t="s">
        <v>113</v>
      </c>
      <c r="E684" s="210" t="s">
        <v>799</v>
      </c>
      <c r="F684" s="150" t="s">
        <v>32</v>
      </c>
      <c r="G684" s="150" t="s">
        <v>15</v>
      </c>
      <c r="H684" s="150" t="s">
        <v>135</v>
      </c>
      <c r="I684" s="150" t="s">
        <v>896</v>
      </c>
      <c r="J684" s="151">
        <v>45564</v>
      </c>
      <c r="K684" s="135" t="s">
        <v>117</v>
      </c>
      <c r="L684" s="135">
        <v>261006012</v>
      </c>
      <c r="M684" s="151">
        <v>45565</v>
      </c>
      <c r="N684" s="152">
        <v>45564.732638888891</v>
      </c>
      <c r="O684" s="152">
        <v>45564.732638888891</v>
      </c>
      <c r="P684" s="152">
        <v>45564.736111111109</v>
      </c>
      <c r="Q684" s="152">
        <v>45564.9375</v>
      </c>
      <c r="R684" s="152" t="s">
        <v>118</v>
      </c>
      <c r="S684" s="152" t="s">
        <v>118</v>
      </c>
      <c r="T684" s="152">
        <v>45564.958333333336</v>
      </c>
      <c r="U684" s="152">
        <v>45565.085416666669</v>
      </c>
      <c r="V684" s="219">
        <f t="shared" si="385"/>
        <v>0.20486111110949423</v>
      </c>
      <c r="W684" s="203">
        <v>0.20833333333333334</v>
      </c>
      <c r="X684" s="219" t="str">
        <f t="shared" si="386"/>
        <v>00:00</v>
      </c>
      <c r="Y684" s="96">
        <v>0</v>
      </c>
      <c r="Z684" s="96">
        <v>58</v>
      </c>
      <c r="AA684" s="96">
        <f t="shared" si="395"/>
        <v>58</v>
      </c>
      <c r="AB684" s="97">
        <f t="shared" si="396"/>
        <v>0</v>
      </c>
      <c r="AC684" s="97">
        <f t="shared" si="397"/>
        <v>3894.0799999999995</v>
      </c>
      <c r="AD684" s="98">
        <v>3894.08</v>
      </c>
      <c r="AE684" s="98">
        <v>4026.8</v>
      </c>
      <c r="AF684" s="98">
        <v>4026.8</v>
      </c>
      <c r="AG684" s="98">
        <f t="shared" si="398"/>
        <v>132.72000000000025</v>
      </c>
      <c r="AH684" s="99">
        <v>797.2</v>
      </c>
      <c r="AI684" s="100">
        <f t="shared" si="399"/>
        <v>3210164.9600000004</v>
      </c>
      <c r="AJ684" s="100">
        <f t="shared" si="401"/>
        <v>0</v>
      </c>
      <c r="AK684" s="100">
        <v>0</v>
      </c>
      <c r="AL684" s="100">
        <v>0</v>
      </c>
      <c r="AM684" s="100">
        <v>0</v>
      </c>
      <c r="AN684" s="100">
        <v>0</v>
      </c>
      <c r="AO684" s="100">
        <v>0</v>
      </c>
      <c r="AP684" s="100">
        <f t="shared" si="400"/>
        <v>160509</v>
      </c>
      <c r="AQ684" s="101">
        <f t="shared" si="374"/>
        <v>3370674</v>
      </c>
      <c r="AR684" s="101">
        <v>0</v>
      </c>
      <c r="AS684" s="101">
        <v>0</v>
      </c>
      <c r="AT684" s="102" t="s">
        <v>34</v>
      </c>
      <c r="AU684" s="109" t="s">
        <v>118</v>
      </c>
      <c r="AV684" s="100">
        <v>0</v>
      </c>
      <c r="AW684" s="105">
        <v>0</v>
      </c>
      <c r="AX684" s="216">
        <f t="shared" si="387"/>
        <v>3.2959173537300148</v>
      </c>
      <c r="AY684" s="217">
        <f t="shared" si="388"/>
        <v>105805</v>
      </c>
      <c r="AZ684" s="107"/>
      <c r="BA684" s="94">
        <v>45564.732638888891</v>
      </c>
      <c r="BB684" s="94">
        <v>45564.736111111109</v>
      </c>
      <c r="BC684" s="94">
        <v>45564.736111111109</v>
      </c>
      <c r="BD684" s="94">
        <v>45564.904861111114</v>
      </c>
      <c r="BE684" s="95">
        <f t="shared" si="389"/>
        <v>0.17222222222335404</v>
      </c>
      <c r="BF684" s="95">
        <v>0</v>
      </c>
      <c r="BG684" s="95">
        <v>6.1805555555555558E-2</v>
      </c>
      <c r="BH684" s="95">
        <f t="shared" si="390"/>
        <v>3.4722222189884633E-3</v>
      </c>
      <c r="BI684" s="95">
        <f t="shared" si="390"/>
        <v>0</v>
      </c>
      <c r="BJ684" s="95">
        <f t="shared" si="390"/>
        <v>0.16875000000436557</v>
      </c>
      <c r="BK684" s="95">
        <f t="shared" si="391"/>
        <v>0.16875000000436557</v>
      </c>
      <c r="BL684" s="95">
        <f t="shared" si="392"/>
        <v>0.10694444444881002</v>
      </c>
      <c r="BM684" s="95" t="str">
        <f t="shared" si="393"/>
        <v>00:00</v>
      </c>
      <c r="BN684" s="110"/>
    </row>
    <row r="685" spans="1:66" s="8" customFormat="1" ht="12.75" customHeight="1" x14ac:dyDescent="0.25">
      <c r="A685" s="150">
        <v>624</v>
      </c>
      <c r="B685" s="150">
        <v>82</v>
      </c>
      <c r="C685" s="90">
        <v>16</v>
      </c>
      <c r="D685" s="111" t="s">
        <v>148</v>
      </c>
      <c r="E685" s="210" t="s">
        <v>840</v>
      </c>
      <c r="F685" s="150" t="s">
        <v>19</v>
      </c>
      <c r="G685" s="150" t="s">
        <v>17</v>
      </c>
      <c r="H685" s="150" t="s">
        <v>150</v>
      </c>
      <c r="I685" s="150" t="s">
        <v>897</v>
      </c>
      <c r="J685" s="151">
        <v>45562</v>
      </c>
      <c r="K685" s="135" t="s">
        <v>122</v>
      </c>
      <c r="L685" s="135">
        <v>461000488</v>
      </c>
      <c r="M685" s="151">
        <v>45565</v>
      </c>
      <c r="N685" s="152">
        <v>45564.916666666664</v>
      </c>
      <c r="O685" s="152">
        <v>45564.916666666664</v>
      </c>
      <c r="P685" s="152">
        <v>45564.9375</v>
      </c>
      <c r="Q685" s="152">
        <v>45565.125</v>
      </c>
      <c r="R685" s="152" t="s">
        <v>118</v>
      </c>
      <c r="S685" s="152">
        <v>45565.201388888891</v>
      </c>
      <c r="T685" s="152">
        <v>45565.3125</v>
      </c>
      <c r="U685" s="152">
        <v>45565.395833333336</v>
      </c>
      <c r="V685" s="219">
        <f t="shared" si="385"/>
        <v>0.20833333333575865</v>
      </c>
      <c r="W685" s="203">
        <v>0.20833333333333334</v>
      </c>
      <c r="X685" s="219">
        <f t="shared" si="386"/>
        <v>2.4253099528692701E-12</v>
      </c>
      <c r="Y685" s="96">
        <v>0</v>
      </c>
      <c r="Z685" s="96">
        <v>59</v>
      </c>
      <c r="AA685" s="96">
        <f t="shared" si="395"/>
        <v>59</v>
      </c>
      <c r="AB685" s="97">
        <f t="shared" si="396"/>
        <v>0</v>
      </c>
      <c r="AC685" s="97">
        <f t="shared" si="397"/>
        <v>4069.2400000000002</v>
      </c>
      <c r="AD685" s="98">
        <v>4069.24</v>
      </c>
      <c r="AE685" s="98">
        <v>4102.2</v>
      </c>
      <c r="AF685" s="98">
        <v>4132</v>
      </c>
      <c r="AG685" s="98">
        <f t="shared" si="398"/>
        <v>62.760000000000218</v>
      </c>
      <c r="AH685" s="99">
        <v>672.5</v>
      </c>
      <c r="AI685" s="100">
        <f t="shared" si="399"/>
        <v>2778770</v>
      </c>
      <c r="AJ685" s="100">
        <f t="shared" si="401"/>
        <v>0</v>
      </c>
      <c r="AK685" s="100">
        <v>0</v>
      </c>
      <c r="AL685" s="100">
        <v>24290</v>
      </c>
      <c r="AM685" s="100">
        <v>0</v>
      </c>
      <c r="AN685" s="100">
        <v>0</v>
      </c>
      <c r="AO685" s="100">
        <v>0</v>
      </c>
      <c r="AP685" s="100">
        <f t="shared" si="400"/>
        <v>140153</v>
      </c>
      <c r="AQ685" s="101">
        <f t="shared" si="374"/>
        <v>2943213</v>
      </c>
      <c r="AR685" s="101">
        <v>0</v>
      </c>
      <c r="AS685" s="101">
        <v>0</v>
      </c>
      <c r="AT685" s="102" t="s">
        <v>33</v>
      </c>
      <c r="AU685" s="109">
        <v>24</v>
      </c>
      <c r="AV685" s="100">
        <f>68.97-24.97</f>
        <v>44</v>
      </c>
      <c r="AW685" s="105">
        <v>2</v>
      </c>
      <c r="AX685" s="216">
        <f t="shared" si="387"/>
        <v>1.5188770571152037</v>
      </c>
      <c r="AY685" s="217">
        <f t="shared" si="388"/>
        <v>42207</v>
      </c>
      <c r="AZ685" s="107"/>
      <c r="BA685" s="94">
        <v>45564.916666666664</v>
      </c>
      <c r="BB685" s="94">
        <v>45564.9375</v>
      </c>
      <c r="BC685" s="94">
        <v>45564.944444444445</v>
      </c>
      <c r="BD685" s="94">
        <v>45565.193749999999</v>
      </c>
      <c r="BE685" s="95">
        <f t="shared" si="389"/>
        <v>0.27708333333430346</v>
      </c>
      <c r="BF685" s="95">
        <v>6.1805555555555558E-2</v>
      </c>
      <c r="BG685" s="95">
        <v>1.3194444444444444E-2</v>
      </c>
      <c r="BH685" s="95">
        <f t="shared" si="390"/>
        <v>2.0833333335758653E-2</v>
      </c>
      <c r="BI685" s="95">
        <f t="shared" si="390"/>
        <v>6.9444444452528842E-3</v>
      </c>
      <c r="BJ685" s="95">
        <f t="shared" si="390"/>
        <v>0.24930555555329192</v>
      </c>
      <c r="BK685" s="95">
        <f t="shared" si="391"/>
        <v>0.25624999999854481</v>
      </c>
      <c r="BL685" s="95">
        <f t="shared" si="392"/>
        <v>0.1812499999985448</v>
      </c>
      <c r="BM685" s="95">
        <f t="shared" si="393"/>
        <v>6.8750000000970118E-2</v>
      </c>
      <c r="BN685" s="110"/>
    </row>
    <row r="686" spans="1:66" s="8" customFormat="1" ht="12.75" customHeight="1" x14ac:dyDescent="0.25">
      <c r="A686" s="150">
        <v>625</v>
      </c>
      <c r="B686" s="150">
        <v>83</v>
      </c>
      <c r="C686" s="90">
        <v>17</v>
      </c>
      <c r="D686" s="111" t="s">
        <v>148</v>
      </c>
      <c r="E686" s="210" t="s">
        <v>840</v>
      </c>
      <c r="F686" s="150" t="s">
        <v>19</v>
      </c>
      <c r="G686" s="150" t="s">
        <v>17</v>
      </c>
      <c r="H686" s="150" t="s">
        <v>150</v>
      </c>
      <c r="I686" s="150" t="s">
        <v>898</v>
      </c>
      <c r="J686" s="151">
        <v>45564</v>
      </c>
      <c r="K686" s="135" t="s">
        <v>117</v>
      </c>
      <c r="L686" s="135">
        <v>461000489</v>
      </c>
      <c r="M686" s="151">
        <v>45565</v>
      </c>
      <c r="N686" s="152">
        <v>45565.354166666664</v>
      </c>
      <c r="O686" s="152">
        <v>45565.354166666664</v>
      </c>
      <c r="P686" s="152">
        <v>45565.361111111109</v>
      </c>
      <c r="Q686" s="152">
        <v>45565.5625</v>
      </c>
      <c r="R686" s="152" t="s">
        <v>118</v>
      </c>
      <c r="S686" s="152">
        <v>45565.604166666664</v>
      </c>
      <c r="T686" s="152">
        <v>45565.6875</v>
      </c>
      <c r="U686" s="152">
        <v>45565.743055555555</v>
      </c>
      <c r="V686" s="219">
        <f t="shared" si="385"/>
        <v>0.20833333333575865</v>
      </c>
      <c r="W686" s="203">
        <v>0.20833333333333334</v>
      </c>
      <c r="X686" s="219">
        <f t="shared" si="386"/>
        <v>2.4253099528692701E-12</v>
      </c>
      <c r="Y686" s="96">
        <v>0</v>
      </c>
      <c r="Z686" s="96">
        <v>58</v>
      </c>
      <c r="AA686" s="96">
        <f t="shared" si="395"/>
        <v>58</v>
      </c>
      <c r="AB686" s="97">
        <f t="shared" si="396"/>
        <v>0</v>
      </c>
      <c r="AC686" s="97">
        <f t="shared" si="397"/>
        <v>3953.5299999999997</v>
      </c>
      <c r="AD686" s="98">
        <v>3953.53</v>
      </c>
      <c r="AE686" s="98">
        <v>4030.7</v>
      </c>
      <c r="AF686" s="98">
        <v>4040</v>
      </c>
      <c r="AG686" s="98">
        <f t="shared" si="398"/>
        <v>86.4699999999998</v>
      </c>
      <c r="AH686" s="99">
        <v>672.5</v>
      </c>
      <c r="AI686" s="100">
        <f t="shared" si="399"/>
        <v>2716900</v>
      </c>
      <c r="AJ686" s="100">
        <f t="shared" si="401"/>
        <v>0</v>
      </c>
      <c r="AK686" s="100">
        <v>0</v>
      </c>
      <c r="AL686" s="100">
        <v>24140</v>
      </c>
      <c r="AM686" s="100">
        <v>0</v>
      </c>
      <c r="AN686" s="100">
        <v>0</v>
      </c>
      <c r="AO686" s="100">
        <v>0</v>
      </c>
      <c r="AP686" s="100">
        <f t="shared" si="400"/>
        <v>137052</v>
      </c>
      <c r="AQ686" s="101">
        <f t="shared" si="374"/>
        <v>2878092</v>
      </c>
      <c r="AR686" s="101">
        <v>0</v>
      </c>
      <c r="AS686" s="101">
        <v>0</v>
      </c>
      <c r="AT686" s="102" t="s">
        <v>34</v>
      </c>
      <c r="AU686" s="109">
        <v>4</v>
      </c>
      <c r="AV686" s="100">
        <f>13.16-8.66</f>
        <v>4.5</v>
      </c>
      <c r="AW686" s="105">
        <v>1</v>
      </c>
      <c r="AX686" s="216">
        <f t="shared" si="387"/>
        <v>2.1403465346534603</v>
      </c>
      <c r="AY686" s="217">
        <f t="shared" si="388"/>
        <v>58152</v>
      </c>
      <c r="AZ686" s="107"/>
      <c r="BA686" s="94">
        <v>45565.354166666664</v>
      </c>
      <c r="BB686" s="94">
        <v>45565.361111111109</v>
      </c>
      <c r="BC686" s="94">
        <v>45565.361111111109</v>
      </c>
      <c r="BD686" s="94">
        <v>45565.595833333333</v>
      </c>
      <c r="BE686" s="95">
        <f t="shared" si="389"/>
        <v>0.24166666666860692</v>
      </c>
      <c r="BF686" s="95">
        <v>3.5416666666666666E-2</v>
      </c>
      <c r="BG686" s="95">
        <v>0</v>
      </c>
      <c r="BH686" s="95">
        <f t="shared" si="390"/>
        <v>6.9444444452528842E-3</v>
      </c>
      <c r="BI686" s="95">
        <f t="shared" si="390"/>
        <v>0</v>
      </c>
      <c r="BJ686" s="95">
        <f t="shared" si="390"/>
        <v>0.23472222222335404</v>
      </c>
      <c r="BK686" s="95">
        <f t="shared" si="391"/>
        <v>0.23472222222335404</v>
      </c>
      <c r="BL686" s="95">
        <f t="shared" si="392"/>
        <v>0.19930555555668739</v>
      </c>
      <c r="BM686" s="95">
        <f t="shared" si="393"/>
        <v>3.3333333335273579E-2</v>
      </c>
      <c r="BN686" s="110"/>
    </row>
    <row r="687" spans="1:66" s="8" customFormat="1" ht="12.75" customHeight="1" x14ac:dyDescent="0.25">
      <c r="A687" s="150">
        <v>626</v>
      </c>
      <c r="B687" s="150">
        <v>84</v>
      </c>
      <c r="C687" s="90">
        <v>18</v>
      </c>
      <c r="D687" s="111" t="s">
        <v>113</v>
      </c>
      <c r="E687" s="210" t="s">
        <v>759</v>
      </c>
      <c r="F687" s="150" t="s">
        <v>29</v>
      </c>
      <c r="G687" s="150" t="s">
        <v>8</v>
      </c>
      <c r="H687" s="150" t="s">
        <v>124</v>
      </c>
      <c r="I687" s="150" t="s">
        <v>899</v>
      </c>
      <c r="J687" s="151">
        <v>45565</v>
      </c>
      <c r="K687" s="135" t="s">
        <v>122</v>
      </c>
      <c r="L687" s="135">
        <v>461000490</v>
      </c>
      <c r="M687" s="151">
        <v>45566</v>
      </c>
      <c r="N687" s="152">
        <v>45565.680555555555</v>
      </c>
      <c r="O687" s="152">
        <v>45565.680555555555</v>
      </c>
      <c r="P687" s="152">
        <v>45565.684027777781</v>
      </c>
      <c r="Q687" s="152">
        <v>45565.885416666664</v>
      </c>
      <c r="R687" s="152" t="s">
        <v>118</v>
      </c>
      <c r="S687" s="152" t="s">
        <v>118</v>
      </c>
      <c r="T687" s="152">
        <v>45565.895833333336</v>
      </c>
      <c r="U687" s="152">
        <v>45566.024305555555</v>
      </c>
      <c r="V687" s="219">
        <f t="shared" si="385"/>
        <v>0.20486111110949423</v>
      </c>
      <c r="W687" s="203">
        <v>0.20833333333333334</v>
      </c>
      <c r="X687" s="219" t="str">
        <f t="shared" si="386"/>
        <v>00:00</v>
      </c>
      <c r="Y687" s="96">
        <v>0</v>
      </c>
      <c r="Z687" s="96">
        <v>58</v>
      </c>
      <c r="AA687" s="96">
        <f t="shared" si="395"/>
        <v>58</v>
      </c>
      <c r="AB687" s="97">
        <f t="shared" si="396"/>
        <v>0</v>
      </c>
      <c r="AC687" s="97">
        <f t="shared" si="397"/>
        <v>4071.1899999999996</v>
      </c>
      <c r="AD687" s="98">
        <v>4071.19</v>
      </c>
      <c r="AE687" s="98">
        <v>4055.5</v>
      </c>
      <c r="AF687" s="98">
        <v>4083.8</v>
      </c>
      <c r="AG687" s="98">
        <f t="shared" si="398"/>
        <v>12.610000000000127</v>
      </c>
      <c r="AH687" s="99">
        <v>797.2</v>
      </c>
      <c r="AI687" s="100">
        <f t="shared" si="399"/>
        <v>3255605.3600000003</v>
      </c>
      <c r="AJ687" s="100">
        <f t="shared" si="401"/>
        <v>0</v>
      </c>
      <c r="AK687" s="100">
        <v>0</v>
      </c>
      <c r="AL687" s="100">
        <v>24140</v>
      </c>
      <c r="AM687" s="100">
        <v>0</v>
      </c>
      <c r="AN687" s="100">
        <v>0</v>
      </c>
      <c r="AO687" s="100">
        <v>0</v>
      </c>
      <c r="AP687" s="100">
        <f t="shared" si="400"/>
        <v>163988</v>
      </c>
      <c r="AQ687" s="101">
        <f t="shared" si="374"/>
        <v>3443734</v>
      </c>
      <c r="AR687" s="101">
        <v>0</v>
      </c>
      <c r="AS687" s="101">
        <v>0</v>
      </c>
      <c r="AT687" s="102" t="s">
        <v>34</v>
      </c>
      <c r="AU687" s="109">
        <v>11</v>
      </c>
      <c r="AV687" s="100">
        <f>36.27-25.27</f>
        <v>11.000000000000004</v>
      </c>
      <c r="AW687" s="105">
        <v>0</v>
      </c>
      <c r="AX687" s="216">
        <f t="shared" si="387"/>
        <v>0.30878103726921313</v>
      </c>
      <c r="AY687" s="217">
        <f t="shared" si="388"/>
        <v>10053</v>
      </c>
      <c r="AZ687" s="107"/>
      <c r="BA687" s="94">
        <v>45565.673611111109</v>
      </c>
      <c r="BB687" s="94">
        <v>45565.677083333336</v>
      </c>
      <c r="BC687" s="94">
        <v>45565.677083333336</v>
      </c>
      <c r="BD687" s="94">
        <v>45565.870138888888</v>
      </c>
      <c r="BE687" s="95">
        <f t="shared" si="389"/>
        <v>0.19652777777810115</v>
      </c>
      <c r="BF687" s="95">
        <v>0</v>
      </c>
      <c r="BG687" s="95">
        <v>4.027777777777778E-2</v>
      </c>
      <c r="BH687" s="95">
        <f t="shared" si="390"/>
        <v>3.4722222262644209E-3</v>
      </c>
      <c r="BI687" s="95">
        <f t="shared" si="390"/>
        <v>0</v>
      </c>
      <c r="BJ687" s="95">
        <f t="shared" si="390"/>
        <v>0.19305555555183673</v>
      </c>
      <c r="BK687" s="95">
        <f t="shared" si="391"/>
        <v>0.19305555555183673</v>
      </c>
      <c r="BL687" s="95">
        <f t="shared" si="392"/>
        <v>0.15277777777405896</v>
      </c>
      <c r="BM687" s="95" t="str">
        <f t="shared" si="393"/>
        <v>00:00</v>
      </c>
      <c r="BN687" s="110"/>
    </row>
    <row r="688" spans="1:66" s="8" customFormat="1" ht="12.75" customHeight="1" x14ac:dyDescent="0.25">
      <c r="A688" s="150">
        <v>627</v>
      </c>
      <c r="B688" s="150">
        <v>85</v>
      </c>
      <c r="C688" s="90">
        <v>9</v>
      </c>
      <c r="D688" s="111" t="s">
        <v>113</v>
      </c>
      <c r="E688" s="210" t="s">
        <v>771</v>
      </c>
      <c r="F688" s="150" t="s">
        <v>27</v>
      </c>
      <c r="G688" s="150" t="s">
        <v>12</v>
      </c>
      <c r="H688" s="150" t="s">
        <v>115</v>
      </c>
      <c r="I688" s="150" t="s">
        <v>900</v>
      </c>
      <c r="J688" s="151">
        <v>45565</v>
      </c>
      <c r="K688" s="135" t="s">
        <v>117</v>
      </c>
      <c r="L688" s="135">
        <v>282001029</v>
      </c>
      <c r="M688" s="151">
        <v>45566</v>
      </c>
      <c r="N688" s="152">
        <v>45565.927083333336</v>
      </c>
      <c r="O688" s="152">
        <v>45565.927083333336</v>
      </c>
      <c r="P688" s="152">
        <v>45565.951388888891</v>
      </c>
      <c r="Q688" s="152">
        <v>45566.135416666664</v>
      </c>
      <c r="R688" s="152" t="s">
        <v>118</v>
      </c>
      <c r="S688" s="152" t="s">
        <v>118</v>
      </c>
      <c r="T688" s="152">
        <v>45566.229166666664</v>
      </c>
      <c r="U688" s="152">
        <v>45566.392361111109</v>
      </c>
      <c r="V688" s="219">
        <f t="shared" si="385"/>
        <v>0.20833333332848269</v>
      </c>
      <c r="W688" s="203">
        <v>0.20833333333333334</v>
      </c>
      <c r="X688" s="219" t="str">
        <f t="shared" si="386"/>
        <v>00:00</v>
      </c>
      <c r="Y688" s="96">
        <v>0</v>
      </c>
      <c r="Z688" s="96">
        <v>58</v>
      </c>
      <c r="AA688" s="96">
        <f t="shared" si="395"/>
        <v>58</v>
      </c>
      <c r="AB688" s="97">
        <f t="shared" si="396"/>
        <v>0</v>
      </c>
      <c r="AC688" s="97">
        <f t="shared" si="397"/>
        <v>4055.72</v>
      </c>
      <c r="AD688" s="98">
        <v>4055.72</v>
      </c>
      <c r="AE688" s="98">
        <v>4041.6</v>
      </c>
      <c r="AF688" s="98">
        <v>4073.6</v>
      </c>
      <c r="AG688" s="98">
        <f t="shared" si="398"/>
        <v>17.880000000000109</v>
      </c>
      <c r="AH688" s="99">
        <v>1586.7</v>
      </c>
      <c r="AI688" s="100">
        <f t="shared" si="399"/>
        <v>6463581.1200000001</v>
      </c>
      <c r="AJ688" s="100">
        <f t="shared" si="401"/>
        <v>0</v>
      </c>
      <c r="AK688" s="100">
        <v>0</v>
      </c>
      <c r="AL688" s="100">
        <v>24140</v>
      </c>
      <c r="AM688" s="100">
        <v>0</v>
      </c>
      <c r="AN688" s="100">
        <v>0</v>
      </c>
      <c r="AO688" s="100">
        <f>IFERROR(AF688*20+(((AJ688/AH688)/2)*20),0)</f>
        <v>81472</v>
      </c>
      <c r="AP688" s="100">
        <f t="shared" si="400"/>
        <v>328460</v>
      </c>
      <c r="AQ688" s="101">
        <f t="shared" si="374"/>
        <v>6897654</v>
      </c>
      <c r="AR688" s="101">
        <v>0</v>
      </c>
      <c r="AS688" s="101">
        <v>0</v>
      </c>
      <c r="AT688" s="102" t="s">
        <v>34</v>
      </c>
      <c r="AU688" s="109">
        <v>19</v>
      </c>
      <c r="AV688" s="100">
        <f>43.77-28.77</f>
        <v>15.000000000000004</v>
      </c>
      <c r="AW688" s="105">
        <v>0</v>
      </c>
      <c r="AX688" s="216">
        <f t="shared" si="387"/>
        <v>0.43892380204242215</v>
      </c>
      <c r="AY688" s="217">
        <f t="shared" si="388"/>
        <v>28371</v>
      </c>
      <c r="AZ688" s="107"/>
      <c r="BA688" s="94">
        <v>45565.927083333336</v>
      </c>
      <c r="BB688" s="94">
        <v>45565.951388888891</v>
      </c>
      <c r="BC688" s="94">
        <v>45565.951388888891</v>
      </c>
      <c r="BD688" s="94">
        <v>45566.095138888886</v>
      </c>
      <c r="BE688" s="95">
        <f t="shared" si="389"/>
        <v>0.16805555555038154</v>
      </c>
      <c r="BF688" s="95">
        <v>1.5277777777777777E-2</v>
      </c>
      <c r="BG688" s="95">
        <v>0</v>
      </c>
      <c r="BH688" s="95">
        <f t="shared" si="390"/>
        <v>2.4305555554747116E-2</v>
      </c>
      <c r="BI688" s="95">
        <f t="shared" si="390"/>
        <v>0</v>
      </c>
      <c r="BJ688" s="95">
        <f t="shared" si="390"/>
        <v>0.14374999999563443</v>
      </c>
      <c r="BK688" s="95">
        <f t="shared" si="391"/>
        <v>0.14374999999563443</v>
      </c>
      <c r="BL688" s="95">
        <f t="shared" si="392"/>
        <v>0.12847222221785665</v>
      </c>
      <c r="BM688" s="95" t="str">
        <f t="shared" si="393"/>
        <v>00:00</v>
      </c>
      <c r="BN688" s="110"/>
    </row>
    <row r="689" spans="1:66" s="8" customFormat="1" ht="12.75" customHeight="1" x14ac:dyDescent="0.25">
      <c r="A689" s="150">
        <v>628</v>
      </c>
      <c r="B689" s="150">
        <v>1</v>
      </c>
      <c r="C689" s="90">
        <v>18</v>
      </c>
      <c r="D689" s="111" t="s">
        <v>148</v>
      </c>
      <c r="E689" s="210" t="s">
        <v>840</v>
      </c>
      <c r="F689" s="150" t="s">
        <v>19</v>
      </c>
      <c r="G689" s="150" t="s">
        <v>17</v>
      </c>
      <c r="H689" s="150" t="s">
        <v>150</v>
      </c>
      <c r="I689" s="150" t="s">
        <v>901</v>
      </c>
      <c r="J689" s="151">
        <v>45564</v>
      </c>
      <c r="K689" s="135" t="s">
        <v>122</v>
      </c>
      <c r="L689" s="135">
        <v>461000491</v>
      </c>
      <c r="M689" s="151">
        <v>45566</v>
      </c>
      <c r="N689" s="152">
        <v>45566.197916666664</v>
      </c>
      <c r="O689" s="152">
        <v>45566.197916666664</v>
      </c>
      <c r="P689" s="152">
        <v>45566.201388888891</v>
      </c>
      <c r="Q689" s="152">
        <v>45566.40625</v>
      </c>
      <c r="R689" s="152" t="s">
        <v>118</v>
      </c>
      <c r="S689" s="152">
        <v>45566.427083333336</v>
      </c>
      <c r="T689" s="152">
        <v>45566.451388888891</v>
      </c>
      <c r="U689" s="152">
        <v>45566.614583333336</v>
      </c>
      <c r="V689" s="219">
        <f t="shared" si="385"/>
        <v>0.20833333333575865</v>
      </c>
      <c r="W689" s="203">
        <v>0.20833333333333334</v>
      </c>
      <c r="X689" s="219">
        <f t="shared" si="386"/>
        <v>2.4253099528692701E-12</v>
      </c>
      <c r="Y689" s="96">
        <v>0</v>
      </c>
      <c r="Z689" s="96">
        <v>58</v>
      </c>
      <c r="AA689" s="96">
        <f t="shared" si="395"/>
        <v>58</v>
      </c>
      <c r="AB689" s="97">
        <f t="shared" si="396"/>
        <v>0</v>
      </c>
      <c r="AC689" s="97">
        <f t="shared" si="397"/>
        <v>4026.76</v>
      </c>
      <c r="AD689" s="98">
        <v>4026.76</v>
      </c>
      <c r="AE689" s="98">
        <v>4022</v>
      </c>
      <c r="AF689" s="98">
        <v>4063.2</v>
      </c>
      <c r="AG689" s="98">
        <f t="shared" si="398"/>
        <v>36.4399999999996</v>
      </c>
      <c r="AH689" s="99">
        <v>672.5</v>
      </c>
      <c r="AI689" s="100">
        <f t="shared" si="399"/>
        <v>2732502</v>
      </c>
      <c r="AJ689" s="100">
        <f t="shared" si="401"/>
        <v>0</v>
      </c>
      <c r="AK689" s="100">
        <v>0</v>
      </c>
      <c r="AL689" s="100">
        <v>48280</v>
      </c>
      <c r="AM689" s="100">
        <v>0</v>
      </c>
      <c r="AN689" s="100">
        <v>0</v>
      </c>
      <c r="AO689" s="100">
        <v>0</v>
      </c>
      <c r="AP689" s="100">
        <f t="shared" si="400"/>
        <v>139040</v>
      </c>
      <c r="AQ689" s="101">
        <f t="shared" si="374"/>
        <v>2919822</v>
      </c>
      <c r="AR689" s="101">
        <v>0</v>
      </c>
      <c r="AS689" s="101">
        <v>0</v>
      </c>
      <c r="AT689" s="102" t="s">
        <v>34</v>
      </c>
      <c r="AU689" s="109">
        <v>39</v>
      </c>
      <c r="AV689" s="100">
        <f>97.49-32.49</f>
        <v>65</v>
      </c>
      <c r="AW689" s="105">
        <v>1</v>
      </c>
      <c r="AX689" s="216">
        <f t="shared" si="387"/>
        <v>0.89683008466232528</v>
      </c>
      <c r="AY689" s="217">
        <f t="shared" si="388"/>
        <v>24506</v>
      </c>
      <c r="AZ689" s="107"/>
      <c r="BA689" s="94">
        <v>45566.197916666664</v>
      </c>
      <c r="BB689" s="94">
        <v>45566.201388888891</v>
      </c>
      <c r="BC689" s="94">
        <v>45566.201388888891</v>
      </c>
      <c r="BD689" s="94">
        <v>45566.421527777777</v>
      </c>
      <c r="BE689" s="95">
        <f t="shared" si="389"/>
        <v>0.22361111111240461</v>
      </c>
      <c r="BF689" s="95">
        <v>1.0416666666666666E-2</v>
      </c>
      <c r="BG689" s="95">
        <v>1.0416666666666666E-2</v>
      </c>
      <c r="BH689" s="95">
        <f t="shared" si="390"/>
        <v>3.4722222262644209E-3</v>
      </c>
      <c r="BI689" s="95">
        <f t="shared" si="390"/>
        <v>0</v>
      </c>
      <c r="BJ689" s="95">
        <f t="shared" si="390"/>
        <v>0.22013888888614019</v>
      </c>
      <c r="BK689" s="95">
        <f t="shared" si="391"/>
        <v>0.22013888888614019</v>
      </c>
      <c r="BL689" s="95">
        <f t="shared" si="392"/>
        <v>0.19930555555280688</v>
      </c>
      <c r="BM689" s="95">
        <f t="shared" si="393"/>
        <v>1.5277777779071272E-2</v>
      </c>
      <c r="BN689" s="110"/>
    </row>
    <row r="690" spans="1:66" s="8" customFormat="1" ht="12.75" customHeight="1" x14ac:dyDescent="0.25">
      <c r="A690" s="150">
        <v>629</v>
      </c>
      <c r="B690" s="150">
        <v>2</v>
      </c>
      <c r="C690" s="90">
        <v>6</v>
      </c>
      <c r="D690" s="111" t="s">
        <v>113</v>
      </c>
      <c r="E690" s="210" t="s">
        <v>863</v>
      </c>
      <c r="F690" s="150" t="s">
        <v>32</v>
      </c>
      <c r="G690" s="150" t="s">
        <v>8</v>
      </c>
      <c r="H690" s="150" t="s">
        <v>120</v>
      </c>
      <c r="I690" s="150" t="s">
        <v>902</v>
      </c>
      <c r="J690" s="151">
        <v>45566</v>
      </c>
      <c r="K690" s="135" t="s">
        <v>117</v>
      </c>
      <c r="L690" s="135">
        <v>261006014</v>
      </c>
      <c r="M690" s="151">
        <v>45567</v>
      </c>
      <c r="N690" s="152">
        <v>45566.791666666664</v>
      </c>
      <c r="O690" s="152">
        <v>45566.791666666664</v>
      </c>
      <c r="P690" s="152">
        <v>45566.819444444445</v>
      </c>
      <c r="Q690" s="152">
        <v>45566.979166666664</v>
      </c>
      <c r="R690" s="152" t="s">
        <v>118</v>
      </c>
      <c r="S690" s="152" t="s">
        <v>118</v>
      </c>
      <c r="T690" s="152">
        <v>45567.013888888891</v>
      </c>
      <c r="U690" s="152">
        <v>45567.11041666667</v>
      </c>
      <c r="V690" s="219">
        <f t="shared" si="385"/>
        <v>0.1875</v>
      </c>
      <c r="W690" s="203">
        <v>0.20833333333333334</v>
      </c>
      <c r="X690" s="219" t="str">
        <f t="shared" si="386"/>
        <v>00:00</v>
      </c>
      <c r="Y690" s="96">
        <v>0</v>
      </c>
      <c r="Z690" s="96">
        <v>58</v>
      </c>
      <c r="AA690" s="96">
        <f t="shared" si="395"/>
        <v>58</v>
      </c>
      <c r="AB690" s="97">
        <f t="shared" si="396"/>
        <v>0</v>
      </c>
      <c r="AC690" s="97">
        <f t="shared" si="397"/>
        <v>3907.21</v>
      </c>
      <c r="AD690" s="98">
        <v>3907.21</v>
      </c>
      <c r="AE690" s="98">
        <v>4035.2</v>
      </c>
      <c r="AF690" s="98">
        <v>4037.4</v>
      </c>
      <c r="AG690" s="98">
        <f t="shared" si="398"/>
        <v>130.19000000000005</v>
      </c>
      <c r="AH690" s="99">
        <v>1398.7</v>
      </c>
      <c r="AI690" s="100">
        <f t="shared" si="399"/>
        <v>5647111.3799999999</v>
      </c>
      <c r="AJ690" s="100">
        <f t="shared" si="401"/>
        <v>0</v>
      </c>
      <c r="AK690" s="100">
        <v>0</v>
      </c>
      <c r="AL690" s="100">
        <v>0</v>
      </c>
      <c r="AM690" s="100">
        <v>0</v>
      </c>
      <c r="AN690" s="100">
        <v>0</v>
      </c>
      <c r="AO690" s="100">
        <v>0</v>
      </c>
      <c r="AP690" s="100">
        <f t="shared" si="400"/>
        <v>282356</v>
      </c>
      <c r="AQ690" s="101">
        <f t="shared" si="374"/>
        <v>5929468</v>
      </c>
      <c r="AR690" s="101">
        <v>0</v>
      </c>
      <c r="AS690" s="101">
        <v>0</v>
      </c>
      <c r="AT690" s="102" t="s">
        <v>34</v>
      </c>
      <c r="AU690" s="109" t="s">
        <v>118</v>
      </c>
      <c r="AV690" s="100">
        <v>0</v>
      </c>
      <c r="AW690" s="105">
        <v>0</v>
      </c>
      <c r="AX690" s="216">
        <f t="shared" si="387"/>
        <v>3.224599990092635</v>
      </c>
      <c r="AY690" s="217">
        <f t="shared" si="388"/>
        <v>182097</v>
      </c>
      <c r="AZ690" s="107"/>
      <c r="BA690" s="94">
        <v>45566.791666666664</v>
      </c>
      <c r="BB690" s="94">
        <v>45566.819444444445</v>
      </c>
      <c r="BC690" s="94">
        <v>45566.819444444445</v>
      </c>
      <c r="BD690" s="94">
        <v>45566.979166666664</v>
      </c>
      <c r="BE690" s="95">
        <f t="shared" si="389"/>
        <v>0.1875</v>
      </c>
      <c r="BF690" s="95">
        <v>0</v>
      </c>
      <c r="BG690" s="95">
        <v>0</v>
      </c>
      <c r="BH690" s="95">
        <f t="shared" si="390"/>
        <v>2.7777777781011537E-2</v>
      </c>
      <c r="BI690" s="95">
        <f t="shared" si="390"/>
        <v>0</v>
      </c>
      <c r="BJ690" s="95">
        <f t="shared" si="390"/>
        <v>0.15972222221898846</v>
      </c>
      <c r="BK690" s="95">
        <f t="shared" si="391"/>
        <v>0.15972222221898846</v>
      </c>
      <c r="BL690" s="95">
        <f t="shared" si="392"/>
        <v>0.15972222221898846</v>
      </c>
      <c r="BM690" s="95" t="str">
        <f t="shared" si="393"/>
        <v>00:00</v>
      </c>
      <c r="BN690" s="110"/>
    </row>
    <row r="691" spans="1:66" s="8" customFormat="1" ht="12.75" customHeight="1" x14ac:dyDescent="0.25">
      <c r="A691" s="115">
        <v>630</v>
      </c>
      <c r="B691" s="115">
        <v>3</v>
      </c>
      <c r="C691" s="90">
        <v>21</v>
      </c>
      <c r="D691" s="115" t="s">
        <v>148</v>
      </c>
      <c r="E691" s="210" t="s">
        <v>766</v>
      </c>
      <c r="F691" s="115" t="s">
        <v>16</v>
      </c>
      <c r="G691" s="115" t="s">
        <v>17</v>
      </c>
      <c r="H691" s="115" t="s">
        <v>150</v>
      </c>
      <c r="I691" s="115" t="s">
        <v>151</v>
      </c>
      <c r="J691" s="117">
        <v>45566</v>
      </c>
      <c r="K691" s="116" t="s">
        <v>122</v>
      </c>
      <c r="L691" s="116">
        <v>461000492</v>
      </c>
      <c r="M691" s="117">
        <v>45567</v>
      </c>
      <c r="N691" s="118">
        <v>45566.979166666664</v>
      </c>
      <c r="O691" s="118">
        <v>45566.979166666664</v>
      </c>
      <c r="P691" s="118">
        <v>45566.986111111109</v>
      </c>
      <c r="Q691" s="118">
        <v>45567.1875</v>
      </c>
      <c r="R691" s="118" t="s">
        <v>118</v>
      </c>
      <c r="S691" s="118" t="s">
        <v>118</v>
      </c>
      <c r="T691" s="118">
        <v>45567.333333333336</v>
      </c>
      <c r="U691" s="118">
        <v>45567.444444444445</v>
      </c>
      <c r="V691" s="119">
        <f t="shared" si="385"/>
        <v>0.20833333333575865</v>
      </c>
      <c r="W691" s="185">
        <v>0.20833333333333334</v>
      </c>
      <c r="X691" s="119">
        <f t="shared" si="386"/>
        <v>2.4253099528692701E-12</v>
      </c>
      <c r="Y691" s="96">
        <v>0</v>
      </c>
      <c r="Z691" s="96">
        <v>2</v>
      </c>
      <c r="AA691" s="96">
        <f t="shared" si="395"/>
        <v>2</v>
      </c>
      <c r="AB691" s="97">
        <f t="shared" si="396"/>
        <v>0</v>
      </c>
      <c r="AC691" s="97">
        <f t="shared" si="397"/>
        <v>101.64999999999964</v>
      </c>
      <c r="AD691" s="98">
        <f>4047.16-3945.51</f>
        <v>101.64999999999964</v>
      </c>
      <c r="AE691" s="98">
        <f>4033.9-3895.9</f>
        <v>138</v>
      </c>
      <c r="AF691" s="98">
        <f>4063.2-3961.55</f>
        <v>101.64999999999964</v>
      </c>
      <c r="AG691" s="98">
        <f t="shared" si="398"/>
        <v>0</v>
      </c>
      <c r="AH691" s="99">
        <v>672.5</v>
      </c>
      <c r="AI691" s="100">
        <f t="shared" si="399"/>
        <v>68359.624999999753</v>
      </c>
      <c r="AJ691" s="100">
        <f t="shared" si="401"/>
        <v>0</v>
      </c>
      <c r="AK691" s="100">
        <v>0</v>
      </c>
      <c r="AL691" s="100">
        <v>24140</v>
      </c>
      <c r="AM691" s="100">
        <v>0</v>
      </c>
      <c r="AN691" s="100">
        <v>0</v>
      </c>
      <c r="AO691" s="100">
        <v>0</v>
      </c>
      <c r="AP691" s="100">
        <f t="shared" si="400"/>
        <v>4625</v>
      </c>
      <c r="AQ691" s="101">
        <f t="shared" si="374"/>
        <v>97125</v>
      </c>
      <c r="AR691" s="101">
        <v>0</v>
      </c>
      <c r="AS691" s="101">
        <v>0</v>
      </c>
      <c r="AT691" s="238" t="s">
        <v>34</v>
      </c>
      <c r="AU691" s="239">
        <v>18</v>
      </c>
      <c r="AV691" s="239">
        <f>39.35-25.35</f>
        <v>14</v>
      </c>
      <c r="AW691" s="105">
        <v>0</v>
      </c>
      <c r="AX691" s="140">
        <f>IFERROR(((AG691+AG692)/(AF691+AF692))*100, "")</f>
        <v>0.39476274857255278</v>
      </c>
      <c r="AY691" s="141">
        <f>ROUNDUP((AG691+AG692)*AH691,0)</f>
        <v>10787</v>
      </c>
      <c r="AZ691" s="107"/>
      <c r="BA691" s="118">
        <v>45566.979166666664</v>
      </c>
      <c r="BB691" s="118">
        <v>45566.986111111109</v>
      </c>
      <c r="BC691" s="118">
        <v>45566.991666666669</v>
      </c>
      <c r="BD691" s="118">
        <v>45567.166666666664</v>
      </c>
      <c r="BE691" s="119">
        <f t="shared" si="389"/>
        <v>0.1875</v>
      </c>
      <c r="BF691" s="119">
        <v>4.0972222222222222E-2</v>
      </c>
      <c r="BG691" s="119">
        <v>6.9444444444444447E-4</v>
      </c>
      <c r="BH691" s="119">
        <f t="shared" si="390"/>
        <v>6.9444444452528842E-3</v>
      </c>
      <c r="BI691" s="119">
        <f t="shared" si="390"/>
        <v>5.5555555591126904E-3</v>
      </c>
      <c r="BJ691" s="119">
        <f t="shared" si="390"/>
        <v>0.17499999999563443</v>
      </c>
      <c r="BK691" s="119">
        <f t="shared" si="391"/>
        <v>0.18055555555474712</v>
      </c>
      <c r="BL691" s="119">
        <f t="shared" si="392"/>
        <v>0.13888888888808046</v>
      </c>
      <c r="BM691" s="119" t="str">
        <f t="shared" si="393"/>
        <v>00:00</v>
      </c>
      <c r="BN691" s="110" t="s">
        <v>903</v>
      </c>
    </row>
    <row r="692" spans="1:66" s="8" customFormat="1" ht="12.75" customHeight="1" x14ac:dyDescent="0.25">
      <c r="A692" s="122"/>
      <c r="B692" s="122"/>
      <c r="C692" s="90">
        <v>1</v>
      </c>
      <c r="D692" s="122"/>
      <c r="E692" s="210" t="s">
        <v>904</v>
      </c>
      <c r="F692" s="122"/>
      <c r="G692" s="122"/>
      <c r="H692" s="122"/>
      <c r="I692" s="122"/>
      <c r="J692" s="124"/>
      <c r="K692" s="123"/>
      <c r="L692" s="123"/>
      <c r="M692" s="124"/>
      <c r="N692" s="125"/>
      <c r="O692" s="125"/>
      <c r="P692" s="125"/>
      <c r="Q692" s="125"/>
      <c r="R692" s="125"/>
      <c r="S692" s="125"/>
      <c r="T692" s="125"/>
      <c r="U692" s="125"/>
      <c r="V692" s="126"/>
      <c r="W692" s="189"/>
      <c r="X692" s="126"/>
      <c r="Y692" s="96">
        <v>0</v>
      </c>
      <c r="Z692" s="96">
        <v>56</v>
      </c>
      <c r="AA692" s="96">
        <f t="shared" si="395"/>
        <v>56</v>
      </c>
      <c r="AB692" s="97">
        <f t="shared" si="396"/>
        <v>0</v>
      </c>
      <c r="AC692" s="97">
        <f t="shared" si="397"/>
        <v>3945.51</v>
      </c>
      <c r="AD692" s="98">
        <v>3945.51</v>
      </c>
      <c r="AE692" s="98">
        <v>3895.9</v>
      </c>
      <c r="AF692" s="98">
        <v>3961.55</v>
      </c>
      <c r="AG692" s="98">
        <f t="shared" si="398"/>
        <v>16.039999999999964</v>
      </c>
      <c r="AH692" s="99">
        <v>672.5</v>
      </c>
      <c r="AI692" s="100">
        <f t="shared" si="399"/>
        <v>2664142.375</v>
      </c>
      <c r="AJ692" s="100">
        <f t="shared" si="401"/>
        <v>0</v>
      </c>
      <c r="AK692" s="100">
        <v>0</v>
      </c>
      <c r="AL692" s="100">
        <v>0</v>
      </c>
      <c r="AM692" s="100">
        <v>0</v>
      </c>
      <c r="AN692" s="100">
        <v>0</v>
      </c>
      <c r="AO692" s="100">
        <v>0</v>
      </c>
      <c r="AP692" s="100">
        <f t="shared" si="400"/>
        <v>133208</v>
      </c>
      <c r="AQ692" s="101">
        <f>ROUNDUP(SUM(AI692:AP692),0)-1</f>
        <v>2797350</v>
      </c>
      <c r="AR692" s="101">
        <v>0</v>
      </c>
      <c r="AS692" s="101">
        <v>0</v>
      </c>
      <c r="AT692" s="240"/>
      <c r="AU692" s="241"/>
      <c r="AV692" s="241"/>
      <c r="AW692" s="105">
        <v>0</v>
      </c>
      <c r="AX692" s="144"/>
      <c r="AY692" s="145"/>
      <c r="AZ692" s="107"/>
      <c r="BA692" s="125"/>
      <c r="BB692" s="125"/>
      <c r="BC692" s="125"/>
      <c r="BD692" s="125"/>
      <c r="BE692" s="126"/>
      <c r="BF692" s="126"/>
      <c r="BG692" s="126"/>
      <c r="BH692" s="126"/>
      <c r="BI692" s="126"/>
      <c r="BJ692" s="126"/>
      <c r="BK692" s="126"/>
      <c r="BL692" s="126"/>
      <c r="BM692" s="126"/>
      <c r="BN692" s="110" t="s">
        <v>905</v>
      </c>
    </row>
    <row r="693" spans="1:66" s="8" customFormat="1" ht="12.75" customHeight="1" x14ac:dyDescent="0.25">
      <c r="A693" s="150">
        <v>631</v>
      </c>
      <c r="B693" s="150">
        <v>4</v>
      </c>
      <c r="C693" s="90">
        <v>2</v>
      </c>
      <c r="D693" s="111" t="s">
        <v>148</v>
      </c>
      <c r="E693" s="210" t="s">
        <v>904</v>
      </c>
      <c r="F693" s="150" t="s">
        <v>16</v>
      </c>
      <c r="G693" s="150" t="s">
        <v>17</v>
      </c>
      <c r="H693" s="150" t="s">
        <v>150</v>
      </c>
      <c r="I693" s="150" t="s">
        <v>154</v>
      </c>
      <c r="J693" s="151">
        <v>45566</v>
      </c>
      <c r="K693" s="135" t="s">
        <v>117</v>
      </c>
      <c r="L693" s="135">
        <v>461000493</v>
      </c>
      <c r="M693" s="151">
        <v>45567</v>
      </c>
      <c r="N693" s="152">
        <v>45567.229166666664</v>
      </c>
      <c r="O693" s="152">
        <v>45567.229166666664</v>
      </c>
      <c r="P693" s="152">
        <v>45567.25</v>
      </c>
      <c r="Q693" s="152">
        <v>45567.4375</v>
      </c>
      <c r="R693" s="152" t="s">
        <v>118</v>
      </c>
      <c r="S693" s="152" t="s">
        <v>118</v>
      </c>
      <c r="T693" s="152">
        <v>45567.458333333336</v>
      </c>
      <c r="U693" s="152">
        <v>45567.614583333336</v>
      </c>
      <c r="V693" s="219">
        <f t="shared" ref="V693:V698" si="402">+Q693-O693</f>
        <v>0.20833333333575865</v>
      </c>
      <c r="W693" s="203">
        <v>0.20833333333333334</v>
      </c>
      <c r="X693" s="219">
        <f t="shared" ref="X693:X698" si="403">IF(VALUE(V693)&lt;=VALUE("05:00"),"00:00",VALUE(V693)-VALUE("05:00"))</f>
        <v>2.4253099528692701E-12</v>
      </c>
      <c r="Y693" s="96">
        <v>0</v>
      </c>
      <c r="Z693" s="96">
        <v>59</v>
      </c>
      <c r="AA693" s="96">
        <f t="shared" si="395"/>
        <v>59</v>
      </c>
      <c r="AB693" s="97">
        <f t="shared" si="396"/>
        <v>0</v>
      </c>
      <c r="AC693" s="97">
        <f t="shared" si="397"/>
        <v>4073.85</v>
      </c>
      <c r="AD693" s="98">
        <v>4073.85</v>
      </c>
      <c r="AE693" s="98">
        <v>4083.5</v>
      </c>
      <c r="AF693" s="98">
        <v>4105.3999999999996</v>
      </c>
      <c r="AG693" s="98">
        <f t="shared" si="398"/>
        <v>31.549999999999727</v>
      </c>
      <c r="AH693" s="99">
        <v>672.5</v>
      </c>
      <c r="AI693" s="100">
        <f t="shared" si="399"/>
        <v>2760881.4999999995</v>
      </c>
      <c r="AJ693" s="100">
        <f t="shared" si="401"/>
        <v>0</v>
      </c>
      <c r="AK693" s="100">
        <v>0</v>
      </c>
      <c r="AL693" s="100">
        <v>24290</v>
      </c>
      <c r="AM693" s="100">
        <v>0</v>
      </c>
      <c r="AN693" s="100">
        <v>0</v>
      </c>
      <c r="AO693" s="100">
        <v>0</v>
      </c>
      <c r="AP693" s="100">
        <f t="shared" si="400"/>
        <v>139259</v>
      </c>
      <c r="AQ693" s="101">
        <f t="shared" ref="AQ693:AQ724" si="404">ROUNDUP(SUM(AI693:AP693),0)</f>
        <v>2924431</v>
      </c>
      <c r="AR693" s="101">
        <v>0</v>
      </c>
      <c r="AS693" s="101">
        <v>0</v>
      </c>
      <c r="AT693" s="102" t="s">
        <v>33</v>
      </c>
      <c r="AU693" s="109">
        <v>11</v>
      </c>
      <c r="AV693" s="100">
        <f>29.31-19.81</f>
        <v>9.5</v>
      </c>
      <c r="AW693" s="105">
        <v>0</v>
      </c>
      <c r="AX693" s="216">
        <f>IFERROR((AG693/AF693)*100, "")</f>
        <v>0.7685000243581559</v>
      </c>
      <c r="AY693" s="217">
        <f>ROUNDUP(AG693*AH693,0)</f>
        <v>21218</v>
      </c>
      <c r="AZ693" s="107"/>
      <c r="BA693" s="94">
        <v>45567.229166666664</v>
      </c>
      <c r="BB693" s="94">
        <v>45567.25</v>
      </c>
      <c r="BC693" s="94">
        <v>45567.25</v>
      </c>
      <c r="BD693" s="94">
        <v>45567.420138888891</v>
      </c>
      <c r="BE693" s="95">
        <f t="shared" ref="BE693:BE698" si="405">+BD693-BA693</f>
        <v>0.19097222222626442</v>
      </c>
      <c r="BF693" s="95">
        <v>0</v>
      </c>
      <c r="BG693" s="95">
        <v>2.0833333333333333E-3</v>
      </c>
      <c r="BH693" s="95">
        <f t="shared" ref="BH693:BJ698" si="406">+BB693-BA693</f>
        <v>2.0833333335758653E-2</v>
      </c>
      <c r="BI693" s="95">
        <f t="shared" si="406"/>
        <v>0</v>
      </c>
      <c r="BJ693" s="95">
        <f t="shared" si="406"/>
        <v>0.17013888889050577</v>
      </c>
      <c r="BK693" s="95">
        <f t="shared" ref="BK693:BK698" si="407">+BI693+BJ693</f>
        <v>0.17013888889050577</v>
      </c>
      <c r="BL693" s="95">
        <f t="shared" ref="BL693:BL698" si="408">+BE693-BH693-BF693-BG693</f>
        <v>0.16805555555717244</v>
      </c>
      <c r="BM693" s="95" t="str">
        <f t="shared" ref="BM693:BM698" si="409">IF(VALUE(BE693)&lt;=VALUE("05:00"),"00:00",VALUE(BE693)-VALUE("05:00"))</f>
        <v>00:00</v>
      </c>
      <c r="BN693" s="110"/>
    </row>
    <row r="694" spans="1:66" s="8" customFormat="1" ht="12.75" customHeight="1" x14ac:dyDescent="0.25">
      <c r="A694" s="150">
        <v>632</v>
      </c>
      <c r="B694" s="150">
        <v>5</v>
      </c>
      <c r="C694" s="90">
        <v>7</v>
      </c>
      <c r="D694" s="111" t="s">
        <v>113</v>
      </c>
      <c r="E694" s="210" t="s">
        <v>863</v>
      </c>
      <c r="F694" s="150" t="s">
        <v>32</v>
      </c>
      <c r="G694" s="150" t="s">
        <v>8</v>
      </c>
      <c r="H694" s="150" t="s">
        <v>783</v>
      </c>
      <c r="I694" s="150" t="s">
        <v>906</v>
      </c>
      <c r="J694" s="151">
        <v>45567</v>
      </c>
      <c r="K694" s="135" t="s">
        <v>122</v>
      </c>
      <c r="L694" s="135">
        <v>281000245</v>
      </c>
      <c r="M694" s="151">
        <v>45568</v>
      </c>
      <c r="N694" s="152">
        <v>45567.677083333336</v>
      </c>
      <c r="O694" s="152">
        <v>45567.677083333336</v>
      </c>
      <c r="P694" s="152">
        <v>45567.680555555555</v>
      </c>
      <c r="Q694" s="152">
        <v>45567.84375</v>
      </c>
      <c r="R694" s="152" t="s">
        <v>118</v>
      </c>
      <c r="S694" s="152" t="s">
        <v>118</v>
      </c>
      <c r="T694" s="152">
        <v>45567.940972222219</v>
      </c>
      <c r="U694" s="152">
        <v>45568.054166666669</v>
      </c>
      <c r="V694" s="219">
        <f t="shared" si="402"/>
        <v>0.16666666666424135</v>
      </c>
      <c r="W694" s="203">
        <v>0.20833333333333334</v>
      </c>
      <c r="X694" s="219" t="str">
        <f t="shared" si="403"/>
        <v>00:00</v>
      </c>
      <c r="Y694" s="96">
        <v>0</v>
      </c>
      <c r="Z694" s="96">
        <v>58</v>
      </c>
      <c r="AA694" s="96">
        <f t="shared" si="395"/>
        <v>58</v>
      </c>
      <c r="AB694" s="97">
        <f t="shared" si="396"/>
        <v>0</v>
      </c>
      <c r="AC694" s="97">
        <f t="shared" si="397"/>
        <v>3986.76</v>
      </c>
      <c r="AD694" s="98">
        <v>3986.76</v>
      </c>
      <c r="AE694" s="98">
        <v>4035.1</v>
      </c>
      <c r="AF694" s="98">
        <v>4045</v>
      </c>
      <c r="AG694" s="98">
        <f t="shared" si="398"/>
        <v>58.239999999999782</v>
      </c>
      <c r="AH694" s="99">
        <v>1228</v>
      </c>
      <c r="AI694" s="100">
        <f t="shared" si="399"/>
        <v>4967260</v>
      </c>
      <c r="AJ694" s="100">
        <f>(0.2*AH694)*2</f>
        <v>491.20000000000005</v>
      </c>
      <c r="AK694" s="100">
        <v>0</v>
      </c>
      <c r="AL694" s="100">
        <v>0</v>
      </c>
      <c r="AM694" s="100">
        <v>0</v>
      </c>
      <c r="AN694" s="100">
        <v>0</v>
      </c>
      <c r="AO694" s="100">
        <v>0</v>
      </c>
      <c r="AP694" s="100">
        <f t="shared" si="400"/>
        <v>248388</v>
      </c>
      <c r="AQ694" s="101">
        <f t="shared" si="404"/>
        <v>5216140</v>
      </c>
      <c r="AR694" s="101">
        <v>0</v>
      </c>
      <c r="AS694" s="101">
        <v>0</v>
      </c>
      <c r="AT694" s="102" t="s">
        <v>33</v>
      </c>
      <c r="AU694" s="109" t="s">
        <v>118</v>
      </c>
      <c r="AV694" s="100">
        <v>0</v>
      </c>
      <c r="AW694" s="105">
        <v>0</v>
      </c>
      <c r="AX694" s="216">
        <f>IFERROR((AG694/AF694)*100, "")</f>
        <v>1.4398022249690923</v>
      </c>
      <c r="AY694" s="217">
        <f>ROUNDUP(AG694*AH694,0)</f>
        <v>71519</v>
      </c>
      <c r="AZ694" s="107"/>
      <c r="BA694" s="94">
        <v>45567.677083333336</v>
      </c>
      <c r="BB694" s="94">
        <v>45567.680555555555</v>
      </c>
      <c r="BC694" s="94">
        <v>45567.680555555555</v>
      </c>
      <c r="BD694" s="94">
        <v>45567.829861111109</v>
      </c>
      <c r="BE694" s="95">
        <f t="shared" si="405"/>
        <v>0.15277777777373558</v>
      </c>
      <c r="BF694" s="95">
        <v>7.6388888888888886E-3</v>
      </c>
      <c r="BG694" s="95">
        <v>0</v>
      </c>
      <c r="BH694" s="95">
        <f t="shared" si="406"/>
        <v>3.4722222189884633E-3</v>
      </c>
      <c r="BI694" s="95">
        <f t="shared" si="406"/>
        <v>0</v>
      </c>
      <c r="BJ694" s="95">
        <f t="shared" si="406"/>
        <v>0.14930555555474712</v>
      </c>
      <c r="BK694" s="95">
        <f t="shared" si="407"/>
        <v>0.14930555555474712</v>
      </c>
      <c r="BL694" s="95">
        <f t="shared" si="408"/>
        <v>0.14166666666585823</v>
      </c>
      <c r="BM694" s="95" t="str">
        <f t="shared" si="409"/>
        <v>00:00</v>
      </c>
      <c r="BN694" s="110"/>
    </row>
    <row r="695" spans="1:66" s="8" customFormat="1" ht="12.75" customHeight="1" x14ac:dyDescent="0.25">
      <c r="A695" s="150">
        <v>633</v>
      </c>
      <c r="B695" s="150">
        <v>6</v>
      </c>
      <c r="C695" s="90">
        <v>3</v>
      </c>
      <c r="D695" s="111" t="s">
        <v>148</v>
      </c>
      <c r="E695" s="210" t="s">
        <v>904</v>
      </c>
      <c r="F695" s="150" t="s">
        <v>16</v>
      </c>
      <c r="G695" s="150" t="s">
        <v>17</v>
      </c>
      <c r="H695" s="150" t="s">
        <v>150</v>
      </c>
      <c r="I695" s="150" t="s">
        <v>158</v>
      </c>
      <c r="J695" s="151">
        <v>45566</v>
      </c>
      <c r="K695" s="135" t="s">
        <v>117</v>
      </c>
      <c r="L695" s="135">
        <v>461000494</v>
      </c>
      <c r="M695" s="151">
        <v>45568</v>
      </c>
      <c r="N695" s="152">
        <v>45567.833333333336</v>
      </c>
      <c r="O695" s="152">
        <v>45567.833333333336</v>
      </c>
      <c r="P695" s="152">
        <v>45567.864583333336</v>
      </c>
      <c r="Q695" s="152">
        <v>45568.041666666664</v>
      </c>
      <c r="R695" s="152" t="s">
        <v>118</v>
      </c>
      <c r="S695" s="152" t="s">
        <v>118</v>
      </c>
      <c r="T695" s="152">
        <v>45568.0625</v>
      </c>
      <c r="U695" s="152">
        <v>45568.222222222219</v>
      </c>
      <c r="V695" s="219">
        <f t="shared" si="402"/>
        <v>0.20833333332848269</v>
      </c>
      <c r="W695" s="203">
        <v>0.20833333333333334</v>
      </c>
      <c r="X695" s="219" t="str">
        <f t="shared" si="403"/>
        <v>00:00</v>
      </c>
      <c r="Y695" s="96">
        <v>0</v>
      </c>
      <c r="Z695" s="96">
        <v>59</v>
      </c>
      <c r="AA695" s="96">
        <f t="shared" si="395"/>
        <v>59</v>
      </c>
      <c r="AB695" s="97">
        <f t="shared" si="396"/>
        <v>0</v>
      </c>
      <c r="AC695" s="97">
        <f t="shared" si="397"/>
        <v>4120.6400000000003</v>
      </c>
      <c r="AD695" s="98">
        <v>4120.6400000000003</v>
      </c>
      <c r="AE695" s="98">
        <v>4102.2</v>
      </c>
      <c r="AF695" s="98">
        <v>4135</v>
      </c>
      <c r="AG695" s="98">
        <f t="shared" si="398"/>
        <v>14.359999999999673</v>
      </c>
      <c r="AH695" s="99">
        <v>672.5</v>
      </c>
      <c r="AI695" s="100">
        <f t="shared" si="399"/>
        <v>2780787.5</v>
      </c>
      <c r="AJ695" s="100">
        <f>(0*AH695)*2</f>
        <v>0</v>
      </c>
      <c r="AK695" s="100">
        <v>0</v>
      </c>
      <c r="AL695" s="100">
        <v>24290</v>
      </c>
      <c r="AM695" s="100">
        <v>0</v>
      </c>
      <c r="AN695" s="100">
        <v>0</v>
      </c>
      <c r="AO695" s="100">
        <v>0</v>
      </c>
      <c r="AP695" s="100">
        <f t="shared" si="400"/>
        <v>140254</v>
      </c>
      <c r="AQ695" s="101">
        <f t="shared" si="404"/>
        <v>2945332</v>
      </c>
      <c r="AR695" s="101">
        <v>0</v>
      </c>
      <c r="AS695" s="101">
        <v>0</v>
      </c>
      <c r="AT695" s="102" t="s">
        <v>33</v>
      </c>
      <c r="AU695" s="109">
        <v>24</v>
      </c>
      <c r="AV695" s="100">
        <f>59.63-28.63</f>
        <v>31.000000000000004</v>
      </c>
      <c r="AW695" s="105">
        <v>0</v>
      </c>
      <c r="AX695" s="216">
        <f>IFERROR((AG695/AF695)*100, "")</f>
        <v>0.34727932285368013</v>
      </c>
      <c r="AY695" s="217">
        <f>ROUNDUP(AG695*AH695,0)</f>
        <v>9658</v>
      </c>
      <c r="AZ695" s="107"/>
      <c r="BA695" s="94">
        <v>45567.833333333336</v>
      </c>
      <c r="BB695" s="94">
        <v>45567.864583333336</v>
      </c>
      <c r="BC695" s="94">
        <v>45567.864583333336</v>
      </c>
      <c r="BD695" s="94">
        <v>45568.03125</v>
      </c>
      <c r="BE695" s="95">
        <f t="shared" si="405"/>
        <v>0.19791666666424135</v>
      </c>
      <c r="BF695" s="95">
        <v>1.1111111111111112E-2</v>
      </c>
      <c r="BG695" s="95">
        <v>2.0833333333333333E-3</v>
      </c>
      <c r="BH695" s="95">
        <f t="shared" si="406"/>
        <v>3.125E-2</v>
      </c>
      <c r="BI695" s="95">
        <f t="shared" si="406"/>
        <v>0</v>
      </c>
      <c r="BJ695" s="95">
        <f t="shared" si="406"/>
        <v>0.16666666666424135</v>
      </c>
      <c r="BK695" s="95">
        <f t="shared" si="407"/>
        <v>0.16666666666424135</v>
      </c>
      <c r="BL695" s="95">
        <f t="shared" si="408"/>
        <v>0.15347222221979692</v>
      </c>
      <c r="BM695" s="95" t="str">
        <f t="shared" si="409"/>
        <v>00:00</v>
      </c>
      <c r="BN695" s="110"/>
    </row>
    <row r="696" spans="1:66" s="8" customFormat="1" ht="12.75" customHeight="1" x14ac:dyDescent="0.25">
      <c r="A696" s="150">
        <v>634</v>
      </c>
      <c r="B696" s="150">
        <v>7</v>
      </c>
      <c r="C696" s="90">
        <v>14</v>
      </c>
      <c r="D696" s="111" t="s">
        <v>113</v>
      </c>
      <c r="E696" s="210" t="s">
        <v>799</v>
      </c>
      <c r="F696" s="150" t="s">
        <v>32</v>
      </c>
      <c r="G696" s="150" t="s">
        <v>15</v>
      </c>
      <c r="H696" s="150" t="s">
        <v>135</v>
      </c>
      <c r="I696" s="150" t="s">
        <v>907</v>
      </c>
      <c r="J696" s="151">
        <v>45568</v>
      </c>
      <c r="K696" s="135" t="s">
        <v>117</v>
      </c>
      <c r="L696" s="135">
        <v>241000406</v>
      </c>
      <c r="M696" s="151">
        <v>45568</v>
      </c>
      <c r="N696" s="152">
        <v>45568.538194444445</v>
      </c>
      <c r="O696" s="152">
        <v>45568.538194444445</v>
      </c>
      <c r="P696" s="152">
        <v>45568.541666666664</v>
      </c>
      <c r="Q696" s="152">
        <v>45568.746527777781</v>
      </c>
      <c r="R696" s="152" t="s">
        <v>118</v>
      </c>
      <c r="S696" s="152">
        <v>45568.770833333336</v>
      </c>
      <c r="T696" s="152">
        <v>45568.802083333336</v>
      </c>
      <c r="U696" s="152">
        <v>45568.861805555556</v>
      </c>
      <c r="V696" s="219">
        <f t="shared" si="402"/>
        <v>0.20833333333575865</v>
      </c>
      <c r="W696" s="203">
        <v>0.20833333333333334</v>
      </c>
      <c r="X696" s="219">
        <f t="shared" si="403"/>
        <v>2.4253099528692701E-12</v>
      </c>
      <c r="Y696" s="96">
        <v>0</v>
      </c>
      <c r="Z696" s="96">
        <v>59</v>
      </c>
      <c r="AA696" s="96">
        <f t="shared" si="395"/>
        <v>59</v>
      </c>
      <c r="AB696" s="97">
        <f t="shared" si="396"/>
        <v>0</v>
      </c>
      <c r="AC696" s="97">
        <f t="shared" si="397"/>
        <v>4035.75</v>
      </c>
      <c r="AD696" s="98">
        <v>4035.75</v>
      </c>
      <c r="AE696" s="98">
        <v>4104</v>
      </c>
      <c r="AF696" s="98">
        <v>4109</v>
      </c>
      <c r="AG696" s="98">
        <f t="shared" si="398"/>
        <v>73.25</v>
      </c>
      <c r="AH696" s="99">
        <v>797.2</v>
      </c>
      <c r="AI696" s="100">
        <f t="shared" si="399"/>
        <v>3275694.8000000003</v>
      </c>
      <c r="AJ696" s="100">
        <f>(0.4*AH696)*2</f>
        <v>637.7600000000001</v>
      </c>
      <c r="AK696" s="100">
        <v>0</v>
      </c>
      <c r="AL696" s="100">
        <v>0</v>
      </c>
      <c r="AM696" s="100">
        <v>0</v>
      </c>
      <c r="AN696" s="100">
        <v>0</v>
      </c>
      <c r="AO696" s="100">
        <v>0</v>
      </c>
      <c r="AP696" s="100">
        <f t="shared" si="400"/>
        <v>163817</v>
      </c>
      <c r="AQ696" s="101">
        <f t="shared" si="404"/>
        <v>3440150</v>
      </c>
      <c r="AR696" s="101">
        <v>0</v>
      </c>
      <c r="AS696" s="101">
        <v>0</v>
      </c>
      <c r="AT696" s="102" t="s">
        <v>33</v>
      </c>
      <c r="AU696" s="109" t="s">
        <v>118</v>
      </c>
      <c r="AV696" s="100">
        <v>0</v>
      </c>
      <c r="AW696" s="105">
        <v>1</v>
      </c>
      <c r="AX696" s="216">
        <f>IFERROR((AG696/AF696)*100, "")</f>
        <v>1.7826721830128986</v>
      </c>
      <c r="AY696" s="217">
        <f>ROUNDUP(AG696*AH696,0)</f>
        <v>58395</v>
      </c>
      <c r="AZ696" s="107"/>
      <c r="BA696" s="94">
        <v>45568.538194444445</v>
      </c>
      <c r="BB696" s="94">
        <v>45568.541666666664</v>
      </c>
      <c r="BC696" s="94">
        <v>45568.5625</v>
      </c>
      <c r="BD696" s="94">
        <v>45568.760416666664</v>
      </c>
      <c r="BE696" s="95">
        <f t="shared" si="405"/>
        <v>0.22222222221898846</v>
      </c>
      <c r="BF696" s="95">
        <v>2.9861111111111113E-2</v>
      </c>
      <c r="BG696" s="95">
        <v>5.9027777777777776E-2</v>
      </c>
      <c r="BH696" s="95">
        <f t="shared" si="406"/>
        <v>3.4722222189884633E-3</v>
      </c>
      <c r="BI696" s="95">
        <f t="shared" si="406"/>
        <v>2.0833333335758653E-2</v>
      </c>
      <c r="BJ696" s="95">
        <f t="shared" si="406"/>
        <v>0.19791666666424135</v>
      </c>
      <c r="BK696" s="95">
        <f t="shared" si="407"/>
        <v>0.21875</v>
      </c>
      <c r="BL696" s="95">
        <f t="shared" si="408"/>
        <v>0.12986111111111109</v>
      </c>
      <c r="BM696" s="95">
        <f t="shared" si="409"/>
        <v>1.3888888885655121E-2</v>
      </c>
      <c r="BN696" s="110"/>
    </row>
    <row r="697" spans="1:66" s="8" customFormat="1" ht="12.75" customHeight="1" x14ac:dyDescent="0.25">
      <c r="A697" s="150">
        <v>635</v>
      </c>
      <c r="B697" s="150">
        <v>8</v>
      </c>
      <c r="C697" s="90">
        <v>4</v>
      </c>
      <c r="D697" s="111" t="s">
        <v>148</v>
      </c>
      <c r="E697" s="210" t="s">
        <v>904</v>
      </c>
      <c r="F697" s="150" t="s">
        <v>16</v>
      </c>
      <c r="G697" s="150" t="s">
        <v>17</v>
      </c>
      <c r="H697" s="150" t="s">
        <v>150</v>
      </c>
      <c r="I697" s="150" t="s">
        <v>162</v>
      </c>
      <c r="J697" s="151">
        <v>45568</v>
      </c>
      <c r="K697" s="135" t="s">
        <v>122</v>
      </c>
      <c r="L697" s="135">
        <v>461000495</v>
      </c>
      <c r="M697" s="151">
        <v>45569</v>
      </c>
      <c r="N697" s="152">
        <v>45568.774305555555</v>
      </c>
      <c r="O697" s="152">
        <v>45568.774305555555</v>
      </c>
      <c r="P697" s="152">
        <v>45568.777777777781</v>
      </c>
      <c r="Q697" s="152">
        <v>45568.947916666664</v>
      </c>
      <c r="R697" s="152" t="s">
        <v>118</v>
      </c>
      <c r="S697" s="152" t="s">
        <v>118</v>
      </c>
      <c r="T697" s="152">
        <v>45568.958333333336</v>
      </c>
      <c r="U697" s="152">
        <v>45569.149305555555</v>
      </c>
      <c r="V697" s="219">
        <f t="shared" si="402"/>
        <v>0.17361111110949423</v>
      </c>
      <c r="W697" s="203">
        <v>0.20833333333333334</v>
      </c>
      <c r="X697" s="219" t="str">
        <f t="shared" si="403"/>
        <v>00:00</v>
      </c>
      <c r="Y697" s="96">
        <v>0</v>
      </c>
      <c r="Z697" s="96">
        <v>58</v>
      </c>
      <c r="AA697" s="96">
        <f t="shared" si="395"/>
        <v>58</v>
      </c>
      <c r="AB697" s="97">
        <f t="shared" si="396"/>
        <v>0</v>
      </c>
      <c r="AC697" s="97">
        <f t="shared" si="397"/>
        <v>4018.17</v>
      </c>
      <c r="AD697" s="98">
        <v>4018.17</v>
      </c>
      <c r="AE697" s="98">
        <v>4027.3</v>
      </c>
      <c r="AF697" s="98">
        <v>4046.4</v>
      </c>
      <c r="AG697" s="98">
        <f t="shared" si="398"/>
        <v>28.230000000000018</v>
      </c>
      <c r="AH697" s="99">
        <v>672.5</v>
      </c>
      <c r="AI697" s="100">
        <f t="shared" si="399"/>
        <v>2721204</v>
      </c>
      <c r="AJ697" s="100">
        <f>(0*AH697)*2</f>
        <v>0</v>
      </c>
      <c r="AK697" s="100">
        <v>0</v>
      </c>
      <c r="AL697" s="100">
        <v>24140</v>
      </c>
      <c r="AM697" s="100">
        <v>0</v>
      </c>
      <c r="AN697" s="100">
        <v>0</v>
      </c>
      <c r="AO697" s="100">
        <v>0</v>
      </c>
      <c r="AP697" s="100">
        <f t="shared" si="400"/>
        <v>137268</v>
      </c>
      <c r="AQ697" s="101">
        <f t="shared" si="404"/>
        <v>2882612</v>
      </c>
      <c r="AR697" s="101">
        <v>0</v>
      </c>
      <c r="AS697" s="101">
        <v>0</v>
      </c>
      <c r="AT697" s="102" t="s">
        <v>33</v>
      </c>
      <c r="AU697" s="109">
        <v>10</v>
      </c>
      <c r="AV697" s="100">
        <f>26.02-17.02</f>
        <v>9</v>
      </c>
      <c r="AW697" s="105">
        <v>0</v>
      </c>
      <c r="AX697" s="216">
        <f>IFERROR((AG697/AF697)*100, "")</f>
        <v>0.69765717674970396</v>
      </c>
      <c r="AY697" s="217">
        <f>ROUNDUP(AG697*AH697,0)</f>
        <v>18985</v>
      </c>
      <c r="AZ697" s="107"/>
      <c r="BA697" s="94">
        <v>45568.767361111109</v>
      </c>
      <c r="BB697" s="94">
        <v>45568.770833333336</v>
      </c>
      <c r="BC697" s="94">
        <v>45568.770833333336</v>
      </c>
      <c r="BD697" s="94">
        <v>45568.923611111109</v>
      </c>
      <c r="BE697" s="95">
        <f t="shared" si="405"/>
        <v>0.15625</v>
      </c>
      <c r="BF697" s="95">
        <v>2.7777777777777779E-3</v>
      </c>
      <c r="BG697" s="95">
        <v>1.3888888888888889E-3</v>
      </c>
      <c r="BH697" s="95">
        <f t="shared" si="406"/>
        <v>3.4722222262644209E-3</v>
      </c>
      <c r="BI697" s="95">
        <f t="shared" si="406"/>
        <v>0</v>
      </c>
      <c r="BJ697" s="95">
        <f t="shared" si="406"/>
        <v>0.15277777777373558</v>
      </c>
      <c r="BK697" s="95">
        <f t="shared" si="407"/>
        <v>0.15277777777373558</v>
      </c>
      <c r="BL697" s="95">
        <f t="shared" si="408"/>
        <v>0.14861111110706893</v>
      </c>
      <c r="BM697" s="95" t="str">
        <f t="shared" si="409"/>
        <v>00:00</v>
      </c>
      <c r="BN697" s="110"/>
    </row>
    <row r="698" spans="1:66" s="8" customFormat="1" ht="12.75" customHeight="1" x14ac:dyDescent="0.25">
      <c r="A698" s="115">
        <v>636</v>
      </c>
      <c r="B698" s="115">
        <v>9</v>
      </c>
      <c r="C698" s="90">
        <v>15</v>
      </c>
      <c r="D698" s="115" t="s">
        <v>113</v>
      </c>
      <c r="E698" s="210" t="s">
        <v>799</v>
      </c>
      <c r="F698" s="115" t="s">
        <v>32</v>
      </c>
      <c r="G698" s="115" t="s">
        <v>15</v>
      </c>
      <c r="H698" s="115" t="s">
        <v>135</v>
      </c>
      <c r="I698" s="150" t="s">
        <v>908</v>
      </c>
      <c r="J698" s="117">
        <v>45569</v>
      </c>
      <c r="K698" s="116" t="s">
        <v>122</v>
      </c>
      <c r="L698" s="135">
        <v>241000407</v>
      </c>
      <c r="M698" s="151">
        <v>45569</v>
      </c>
      <c r="N698" s="118">
        <v>45569.322916666664</v>
      </c>
      <c r="O698" s="118">
        <v>45569.322916666664</v>
      </c>
      <c r="P698" s="118">
        <v>45569.333333333336</v>
      </c>
      <c r="Q698" s="118">
        <v>45569.53125</v>
      </c>
      <c r="R698" s="118" t="s">
        <v>118</v>
      </c>
      <c r="S698" s="118">
        <v>45569.552083333336</v>
      </c>
      <c r="T698" s="118">
        <v>45569.541666666664</v>
      </c>
      <c r="U698" s="118">
        <v>45569.655555555553</v>
      </c>
      <c r="V698" s="119">
        <f t="shared" si="402"/>
        <v>0.20833333333575865</v>
      </c>
      <c r="W698" s="185">
        <v>0.20833333333333334</v>
      </c>
      <c r="X698" s="119">
        <f t="shared" si="403"/>
        <v>2.4253099528692701E-12</v>
      </c>
      <c r="Y698" s="96">
        <v>0</v>
      </c>
      <c r="Z698" s="96">
        <v>31</v>
      </c>
      <c r="AA698" s="96">
        <f t="shared" si="395"/>
        <v>31</v>
      </c>
      <c r="AB698" s="97">
        <f t="shared" si="396"/>
        <v>0</v>
      </c>
      <c r="AC698" s="97">
        <f t="shared" si="397"/>
        <v>2128.5500000000002</v>
      </c>
      <c r="AD698" s="98">
        <v>2128.5500000000002</v>
      </c>
      <c r="AE698" s="98">
        <v>2158.1999999999998</v>
      </c>
      <c r="AF698" s="98">
        <v>2160.1999999999998</v>
      </c>
      <c r="AG698" s="98">
        <f t="shared" si="398"/>
        <v>31.649999999999636</v>
      </c>
      <c r="AH698" s="99">
        <v>797.2</v>
      </c>
      <c r="AI698" s="100">
        <f t="shared" si="399"/>
        <v>1722111.44</v>
      </c>
      <c r="AJ698" s="100">
        <f>(0*AH698)*2</f>
        <v>0</v>
      </c>
      <c r="AK698" s="100">
        <v>0</v>
      </c>
      <c r="AL698" s="100">
        <v>0</v>
      </c>
      <c r="AM698" s="100">
        <v>0</v>
      </c>
      <c r="AN698" s="100">
        <v>0</v>
      </c>
      <c r="AO698" s="100">
        <v>0</v>
      </c>
      <c r="AP698" s="100">
        <f t="shared" si="400"/>
        <v>86106</v>
      </c>
      <c r="AQ698" s="101">
        <f t="shared" si="404"/>
        <v>1808218</v>
      </c>
      <c r="AR698" s="101">
        <v>0</v>
      </c>
      <c r="AS698" s="101">
        <v>0</v>
      </c>
      <c r="AT698" s="238" t="s">
        <v>34</v>
      </c>
      <c r="AU698" s="239" t="s">
        <v>118</v>
      </c>
      <c r="AV698" s="239">
        <v>0</v>
      </c>
      <c r="AW698" s="139">
        <v>1</v>
      </c>
      <c r="AX698" s="140">
        <f>IFERROR(((AG698+AG699)/(AF698+AF699))*100, "")</f>
        <v>1.7710086113035661</v>
      </c>
      <c r="AY698" s="141">
        <f>ROUNDUP((AG698+AG699)*AH698,0)</f>
        <v>57056</v>
      </c>
      <c r="AZ698" s="107"/>
      <c r="BA698" s="118">
        <v>45569.322916666664</v>
      </c>
      <c r="BB698" s="118">
        <v>45569.333333333336</v>
      </c>
      <c r="BC698" s="118">
        <v>45569.340277777781</v>
      </c>
      <c r="BD698" s="118">
        <v>45569.538194444445</v>
      </c>
      <c r="BE698" s="119">
        <f t="shared" si="405"/>
        <v>0.21527777778101154</v>
      </c>
      <c r="BF698" s="119">
        <v>0</v>
      </c>
      <c r="BG698" s="119">
        <v>8.1250000000000003E-2</v>
      </c>
      <c r="BH698" s="119">
        <f t="shared" si="406"/>
        <v>1.0416666671517305E-2</v>
      </c>
      <c r="BI698" s="119">
        <f t="shared" si="406"/>
        <v>6.9444444452528842E-3</v>
      </c>
      <c r="BJ698" s="119">
        <f t="shared" si="406"/>
        <v>0.19791666666424135</v>
      </c>
      <c r="BK698" s="119">
        <f t="shared" si="407"/>
        <v>0.20486111110949423</v>
      </c>
      <c r="BL698" s="119">
        <f t="shared" si="408"/>
        <v>0.12361111110949423</v>
      </c>
      <c r="BM698" s="119">
        <f t="shared" si="409"/>
        <v>6.9444444476781941E-3</v>
      </c>
      <c r="BN698" s="110"/>
    </row>
    <row r="699" spans="1:66" s="8" customFormat="1" ht="12.75" customHeight="1" x14ac:dyDescent="0.25">
      <c r="A699" s="122"/>
      <c r="B699" s="122"/>
      <c r="C699" s="90">
        <v>1</v>
      </c>
      <c r="D699" s="122"/>
      <c r="E699" s="210" t="s">
        <v>909</v>
      </c>
      <c r="F699" s="122"/>
      <c r="G699" s="122"/>
      <c r="H699" s="122"/>
      <c r="I699" s="150" t="s">
        <v>910</v>
      </c>
      <c r="J699" s="124"/>
      <c r="K699" s="123"/>
      <c r="L699" s="135">
        <v>261006020</v>
      </c>
      <c r="M699" s="151">
        <v>45569</v>
      </c>
      <c r="N699" s="125"/>
      <c r="O699" s="125"/>
      <c r="P699" s="125"/>
      <c r="Q699" s="125"/>
      <c r="R699" s="125"/>
      <c r="S699" s="125"/>
      <c r="T699" s="125"/>
      <c r="U699" s="125"/>
      <c r="V699" s="126"/>
      <c r="W699" s="189"/>
      <c r="X699" s="126"/>
      <c r="Y699" s="96">
        <v>0</v>
      </c>
      <c r="Z699" s="96">
        <v>27</v>
      </c>
      <c r="AA699" s="96">
        <f t="shared" si="395"/>
        <v>27</v>
      </c>
      <c r="AB699" s="97">
        <f t="shared" si="396"/>
        <v>0</v>
      </c>
      <c r="AC699" s="97">
        <f t="shared" si="397"/>
        <v>1841.08</v>
      </c>
      <c r="AD699" s="98">
        <v>1841.08</v>
      </c>
      <c r="AE699" s="98">
        <v>1879</v>
      </c>
      <c r="AF699" s="98">
        <v>1881</v>
      </c>
      <c r="AG699" s="98">
        <f t="shared" si="398"/>
        <v>39.920000000000073</v>
      </c>
      <c r="AH699" s="99">
        <v>797.2</v>
      </c>
      <c r="AI699" s="100">
        <f t="shared" si="399"/>
        <v>1499533.2000000002</v>
      </c>
      <c r="AJ699" s="100">
        <f>(0.8*AH699)*2</f>
        <v>1275.5200000000002</v>
      </c>
      <c r="AK699" s="100">
        <v>0</v>
      </c>
      <c r="AL699" s="100">
        <v>0</v>
      </c>
      <c r="AM699" s="100">
        <v>0</v>
      </c>
      <c r="AN699" s="100">
        <v>0</v>
      </c>
      <c r="AO699" s="100">
        <v>0</v>
      </c>
      <c r="AP699" s="100">
        <f t="shared" si="400"/>
        <v>75041</v>
      </c>
      <c r="AQ699" s="101">
        <f t="shared" si="404"/>
        <v>1575850</v>
      </c>
      <c r="AR699" s="101">
        <v>0</v>
      </c>
      <c r="AS699" s="101">
        <v>0</v>
      </c>
      <c r="AT699" s="240"/>
      <c r="AU699" s="241"/>
      <c r="AV699" s="241"/>
      <c r="AW699" s="143"/>
      <c r="AX699" s="144"/>
      <c r="AY699" s="145"/>
      <c r="AZ699" s="107"/>
      <c r="BA699" s="242"/>
      <c r="BB699" s="242"/>
      <c r="BC699" s="242"/>
      <c r="BD699" s="242"/>
      <c r="BE699" s="243"/>
      <c r="BF699" s="243"/>
      <c r="BG699" s="243"/>
      <c r="BH699" s="243"/>
      <c r="BI699" s="243"/>
      <c r="BJ699" s="243"/>
      <c r="BK699" s="243"/>
      <c r="BL699" s="243"/>
      <c r="BM699" s="243"/>
      <c r="BN699" s="110"/>
    </row>
    <row r="700" spans="1:66" s="8" customFormat="1" ht="12.75" customHeight="1" x14ac:dyDescent="0.25">
      <c r="A700" s="115">
        <v>637</v>
      </c>
      <c r="B700" s="115">
        <v>10</v>
      </c>
      <c r="C700" s="90">
        <v>10</v>
      </c>
      <c r="D700" s="115" t="s">
        <v>113</v>
      </c>
      <c r="E700" s="210" t="s">
        <v>771</v>
      </c>
      <c r="F700" s="115" t="s">
        <v>27</v>
      </c>
      <c r="G700" s="115" t="s">
        <v>12</v>
      </c>
      <c r="H700" s="115" t="s">
        <v>115</v>
      </c>
      <c r="I700" s="115" t="s">
        <v>911</v>
      </c>
      <c r="J700" s="117">
        <v>45569</v>
      </c>
      <c r="K700" s="116" t="s">
        <v>117</v>
      </c>
      <c r="L700" s="116">
        <v>282001030</v>
      </c>
      <c r="M700" s="117">
        <v>45570</v>
      </c>
      <c r="N700" s="118">
        <v>45569.743055555555</v>
      </c>
      <c r="O700" s="118">
        <v>45569.743055555555</v>
      </c>
      <c r="P700" s="118">
        <v>45569.746527777781</v>
      </c>
      <c r="Q700" s="118">
        <v>45569.947916666664</v>
      </c>
      <c r="R700" s="118" t="s">
        <v>118</v>
      </c>
      <c r="S700" s="118" t="s">
        <v>118</v>
      </c>
      <c r="T700" s="118">
        <v>45570.006944444445</v>
      </c>
      <c r="U700" s="118">
        <v>45570.208333333336</v>
      </c>
      <c r="V700" s="119">
        <f>+Q700-O700</f>
        <v>0.20486111110949423</v>
      </c>
      <c r="W700" s="185">
        <v>0.20833333333333334</v>
      </c>
      <c r="X700" s="119" t="str">
        <f>IF(VALUE(V700)&lt;=VALUE("05:00"),"00:00",VALUE(V700)-VALUE("05:00"))</f>
        <v>00:00</v>
      </c>
      <c r="Y700" s="96">
        <v>4</v>
      </c>
      <c r="Z700" s="96">
        <v>45</v>
      </c>
      <c r="AA700" s="96">
        <f t="shared" si="395"/>
        <v>49</v>
      </c>
      <c r="AB700" s="97">
        <f t="shared" si="396"/>
        <v>277.34040816326529</v>
      </c>
      <c r="AC700" s="97">
        <f t="shared" si="397"/>
        <v>3120.0795918367344</v>
      </c>
      <c r="AD700" s="98">
        <f>4003.43-339.41-266.6</f>
        <v>3397.42</v>
      </c>
      <c r="AE700" s="98">
        <f>4034.4-344-280</f>
        <v>3410.4</v>
      </c>
      <c r="AF700" s="98">
        <f>4049.6-345.47-280</f>
        <v>3424.13</v>
      </c>
      <c r="AG700" s="98">
        <f t="shared" si="398"/>
        <v>26.710000000000036</v>
      </c>
      <c r="AH700" s="99">
        <v>1586.7</v>
      </c>
      <c r="AI700" s="100">
        <f t="shared" si="399"/>
        <v>5433067.0710000005</v>
      </c>
      <c r="AJ700" s="100">
        <f t="shared" ref="AJ700:AJ719" si="410">(0*AH700)*2</f>
        <v>0</v>
      </c>
      <c r="AK700" s="100">
        <v>0</v>
      </c>
      <c r="AL700" s="100">
        <f>15440+8700</f>
        <v>24140</v>
      </c>
      <c r="AM700" s="100">
        <v>0</v>
      </c>
      <c r="AN700" s="100">
        <v>0</v>
      </c>
      <c r="AO700" s="100">
        <f>IFERROR(AF700*20+(((AJ700/AH700)/2)*20),0)</f>
        <v>68482.600000000006</v>
      </c>
      <c r="AP700" s="100">
        <f t="shared" ref="AP700:AP701" si="411">ROUNDUP(SUM(AI700:AO700)*5%,0)</f>
        <v>276285</v>
      </c>
      <c r="AQ700" s="101">
        <f t="shared" si="404"/>
        <v>5801975</v>
      </c>
      <c r="AR700" s="101">
        <v>0</v>
      </c>
      <c r="AS700" s="101">
        <v>0</v>
      </c>
      <c r="AT700" s="244" t="s">
        <v>34</v>
      </c>
      <c r="AU700" s="120">
        <v>6</v>
      </c>
      <c r="AV700" s="245">
        <f>17.68-13.18</f>
        <v>4.5</v>
      </c>
      <c r="AW700" s="105">
        <v>0</v>
      </c>
      <c r="AX700" s="140">
        <f>IFERROR(((AG700+AG701+AG702)/(AF700+AF701+AF702))*100, "")</f>
        <v>1.1401126037139473</v>
      </c>
      <c r="AY700" s="141">
        <f>ROUNDUP((AG700+AG701+AG702)*AH700,0)</f>
        <v>73258</v>
      </c>
      <c r="AZ700" s="246"/>
      <c r="BA700" s="118">
        <v>45569.732638888891</v>
      </c>
      <c r="BB700" s="118">
        <v>45569.736111111109</v>
      </c>
      <c r="BC700" s="118">
        <v>45569.736111111109</v>
      </c>
      <c r="BD700" s="118">
        <v>45569.899305555555</v>
      </c>
      <c r="BE700" s="119">
        <f>+BD700-BA700</f>
        <v>0.16666666666424135</v>
      </c>
      <c r="BF700" s="119">
        <v>9.7222222222222224E-3</v>
      </c>
      <c r="BG700" s="119">
        <v>1.0416666666666666E-2</v>
      </c>
      <c r="BH700" s="119">
        <f>+BB700-BA700</f>
        <v>3.4722222189884633E-3</v>
      </c>
      <c r="BI700" s="119">
        <f>+BC700-BB700</f>
        <v>0</v>
      </c>
      <c r="BJ700" s="119">
        <f>+BD700-BC700</f>
        <v>0.16319444444525288</v>
      </c>
      <c r="BK700" s="119">
        <f>+BI700+BJ700</f>
        <v>0.16319444444525288</v>
      </c>
      <c r="BL700" s="119">
        <f>+BE700-BH700-BF700-BG700</f>
        <v>0.14305555555636401</v>
      </c>
      <c r="BM700" s="119" t="str">
        <f>IF(VALUE(BE700)&lt;=VALUE("05:00"),"00:00",VALUE(BE700)-VALUE("05:00"))</f>
        <v>00:00</v>
      </c>
      <c r="BN700" s="247" t="s">
        <v>912</v>
      </c>
    </row>
    <row r="701" spans="1:66" s="8" customFormat="1" ht="12.75" customHeight="1" x14ac:dyDescent="0.25">
      <c r="A701" s="179"/>
      <c r="B701" s="179"/>
      <c r="C701" s="90"/>
      <c r="D701" s="179"/>
      <c r="E701" s="210" t="s">
        <v>667</v>
      </c>
      <c r="F701" s="179"/>
      <c r="G701" s="179"/>
      <c r="H701" s="179"/>
      <c r="I701" s="179"/>
      <c r="J701" s="248"/>
      <c r="K701" s="249"/>
      <c r="L701" s="249"/>
      <c r="M701" s="248"/>
      <c r="N701" s="242"/>
      <c r="O701" s="242"/>
      <c r="P701" s="242"/>
      <c r="Q701" s="242"/>
      <c r="R701" s="242"/>
      <c r="S701" s="242"/>
      <c r="T701" s="242"/>
      <c r="U701" s="242"/>
      <c r="V701" s="243"/>
      <c r="W701" s="250"/>
      <c r="X701" s="243"/>
      <c r="Y701" s="96">
        <v>0</v>
      </c>
      <c r="Z701" s="96">
        <v>5</v>
      </c>
      <c r="AA701" s="96">
        <f t="shared" si="395"/>
        <v>5</v>
      </c>
      <c r="AB701" s="97">
        <f t="shared" si="396"/>
        <v>0</v>
      </c>
      <c r="AC701" s="97">
        <f t="shared" si="397"/>
        <v>339.41</v>
      </c>
      <c r="AD701" s="98">
        <v>339.41</v>
      </c>
      <c r="AE701" s="98">
        <v>344</v>
      </c>
      <c r="AF701" s="98">
        <v>345.47</v>
      </c>
      <c r="AG701" s="98">
        <f t="shared" si="398"/>
        <v>6.0600000000000023</v>
      </c>
      <c r="AH701" s="99">
        <v>1586.7</v>
      </c>
      <c r="AI701" s="100">
        <f t="shared" si="399"/>
        <v>548157.24900000007</v>
      </c>
      <c r="AJ701" s="100">
        <f t="shared" si="410"/>
        <v>0</v>
      </c>
      <c r="AK701" s="100">
        <v>0</v>
      </c>
      <c r="AL701" s="100">
        <v>0</v>
      </c>
      <c r="AM701" s="100">
        <v>0</v>
      </c>
      <c r="AN701" s="100">
        <v>0</v>
      </c>
      <c r="AO701" s="100">
        <f>IFERROR(AF701*20+(((AJ701/AH701)/2)*20),0)</f>
        <v>6909.4000000000005</v>
      </c>
      <c r="AP701" s="100">
        <f t="shared" si="411"/>
        <v>27754</v>
      </c>
      <c r="AQ701" s="101">
        <f t="shared" si="404"/>
        <v>582821</v>
      </c>
      <c r="AR701" s="101">
        <v>0</v>
      </c>
      <c r="AS701" s="101">
        <v>0</v>
      </c>
      <c r="AT701" s="251"/>
      <c r="AU701" s="252"/>
      <c r="AV701" s="253"/>
      <c r="AW701" s="105">
        <v>0</v>
      </c>
      <c r="AX701" s="254"/>
      <c r="AY701" s="255"/>
      <c r="AZ701" s="246"/>
      <c r="BA701" s="242"/>
      <c r="BB701" s="242"/>
      <c r="BC701" s="242"/>
      <c r="BD701" s="242"/>
      <c r="BE701" s="243"/>
      <c r="BF701" s="243"/>
      <c r="BG701" s="243"/>
      <c r="BH701" s="243"/>
      <c r="BI701" s="243"/>
      <c r="BJ701" s="243"/>
      <c r="BK701" s="243"/>
      <c r="BL701" s="243"/>
      <c r="BM701" s="243"/>
      <c r="BN701" s="247" t="s">
        <v>913</v>
      </c>
    </row>
    <row r="702" spans="1:66" s="8" customFormat="1" ht="12.75" customHeight="1" x14ac:dyDescent="0.25">
      <c r="A702" s="122"/>
      <c r="B702" s="122"/>
      <c r="C702" s="90"/>
      <c r="D702" s="122"/>
      <c r="E702" s="210" t="s">
        <v>681</v>
      </c>
      <c r="F702" s="122"/>
      <c r="G702" s="122"/>
      <c r="H702" s="122"/>
      <c r="I702" s="122"/>
      <c r="J702" s="124"/>
      <c r="K702" s="123"/>
      <c r="L702" s="123"/>
      <c r="M702" s="124"/>
      <c r="N702" s="125"/>
      <c r="O702" s="125"/>
      <c r="P702" s="125"/>
      <c r="Q702" s="125"/>
      <c r="R702" s="125"/>
      <c r="S702" s="125"/>
      <c r="T702" s="125"/>
      <c r="U702" s="125"/>
      <c r="V702" s="126"/>
      <c r="W702" s="189"/>
      <c r="X702" s="126"/>
      <c r="Y702" s="96">
        <v>0</v>
      </c>
      <c r="Z702" s="96">
        <v>4</v>
      </c>
      <c r="AA702" s="96">
        <f t="shared" si="395"/>
        <v>4</v>
      </c>
      <c r="AB702" s="97">
        <f t="shared" si="396"/>
        <v>0</v>
      </c>
      <c r="AC702" s="97">
        <f t="shared" si="397"/>
        <v>266.60000000000002</v>
      </c>
      <c r="AD702" s="98">
        <v>266.60000000000002</v>
      </c>
      <c r="AE702" s="98">
        <v>280</v>
      </c>
      <c r="AF702" s="98">
        <v>280</v>
      </c>
      <c r="AG702" s="98">
        <f t="shared" si="398"/>
        <v>13.399999999999977</v>
      </c>
      <c r="AH702" s="99">
        <v>1586.7</v>
      </c>
      <c r="AI702" s="100">
        <f t="shared" si="399"/>
        <v>444276</v>
      </c>
      <c r="AJ702" s="100">
        <f t="shared" si="410"/>
        <v>0</v>
      </c>
      <c r="AK702" s="100">
        <v>0</v>
      </c>
      <c r="AL702" s="100">
        <v>0</v>
      </c>
      <c r="AM702" s="100">
        <v>0</v>
      </c>
      <c r="AN702" s="100">
        <v>0</v>
      </c>
      <c r="AO702" s="100">
        <f>IFERROR(AF702*20+(((AJ702/AH702)/2)*20),0)</f>
        <v>5600</v>
      </c>
      <c r="AP702" s="100">
        <f>ROUNDUP(SUM(AI702:AO702)*5%,0)-1</f>
        <v>22493</v>
      </c>
      <c r="AQ702" s="101">
        <f t="shared" si="404"/>
        <v>472369</v>
      </c>
      <c r="AR702" s="101">
        <v>0</v>
      </c>
      <c r="AS702" s="101">
        <v>0</v>
      </c>
      <c r="AT702" s="256"/>
      <c r="AU702" s="127"/>
      <c r="AV702" s="257"/>
      <c r="AW702" s="105">
        <v>0</v>
      </c>
      <c r="AX702" s="144"/>
      <c r="AY702" s="145"/>
      <c r="AZ702" s="246"/>
      <c r="BA702" s="125"/>
      <c r="BB702" s="125"/>
      <c r="BC702" s="125"/>
      <c r="BD702" s="125"/>
      <c r="BE702" s="126"/>
      <c r="BF702" s="126"/>
      <c r="BG702" s="126"/>
      <c r="BH702" s="126"/>
      <c r="BI702" s="126"/>
      <c r="BJ702" s="126"/>
      <c r="BK702" s="126"/>
      <c r="BL702" s="126"/>
      <c r="BM702" s="126"/>
      <c r="BN702" s="247" t="s">
        <v>914</v>
      </c>
    </row>
    <row r="703" spans="1:66" s="8" customFormat="1" ht="12.75" customHeight="1" x14ac:dyDescent="0.25">
      <c r="A703" s="150">
        <v>638</v>
      </c>
      <c r="B703" s="150">
        <v>11</v>
      </c>
      <c r="C703" s="90">
        <v>5</v>
      </c>
      <c r="D703" s="111" t="s">
        <v>148</v>
      </c>
      <c r="E703" s="210" t="s">
        <v>904</v>
      </c>
      <c r="F703" s="150" t="s">
        <v>16</v>
      </c>
      <c r="G703" s="150" t="s">
        <v>17</v>
      </c>
      <c r="H703" s="150" t="s">
        <v>150</v>
      </c>
      <c r="I703" s="150" t="s">
        <v>163</v>
      </c>
      <c r="J703" s="151">
        <v>45569</v>
      </c>
      <c r="K703" s="135" t="s">
        <v>122</v>
      </c>
      <c r="L703" s="135">
        <v>461000496</v>
      </c>
      <c r="M703" s="151">
        <v>45570</v>
      </c>
      <c r="N703" s="152">
        <v>45569.979166666664</v>
      </c>
      <c r="O703" s="152">
        <v>45569.979166666664</v>
      </c>
      <c r="P703" s="152">
        <v>45569.982638888891</v>
      </c>
      <c r="Q703" s="152">
        <v>45570.1875</v>
      </c>
      <c r="R703" s="152" t="s">
        <v>118</v>
      </c>
      <c r="S703" s="152" t="s">
        <v>118</v>
      </c>
      <c r="T703" s="152">
        <v>45570.3125</v>
      </c>
      <c r="U703" s="152">
        <v>45570.409722222219</v>
      </c>
      <c r="V703" s="219">
        <f t="shared" ref="V703:V714" si="412">+Q703-O703</f>
        <v>0.20833333333575865</v>
      </c>
      <c r="W703" s="203">
        <v>0.20833333333333334</v>
      </c>
      <c r="X703" s="219">
        <f t="shared" ref="X703:X714" si="413">IF(VALUE(V703)&lt;=VALUE("05:00"),"00:00",VALUE(V703)-VALUE("05:00"))</f>
        <v>2.4253099528692701E-12</v>
      </c>
      <c r="Y703" s="96">
        <v>0</v>
      </c>
      <c r="Z703" s="96">
        <v>59</v>
      </c>
      <c r="AA703" s="96">
        <f t="shared" si="395"/>
        <v>59</v>
      </c>
      <c r="AB703" s="97">
        <f t="shared" si="396"/>
        <v>0</v>
      </c>
      <c r="AC703" s="97">
        <f t="shared" si="397"/>
        <v>4060.95</v>
      </c>
      <c r="AD703" s="98">
        <v>4060.95</v>
      </c>
      <c r="AE703" s="98">
        <v>4094</v>
      </c>
      <c r="AF703" s="98">
        <v>4117</v>
      </c>
      <c r="AG703" s="98">
        <f t="shared" si="398"/>
        <v>56.050000000000182</v>
      </c>
      <c r="AH703" s="99">
        <v>672.5</v>
      </c>
      <c r="AI703" s="100">
        <f t="shared" si="399"/>
        <v>2768682.5</v>
      </c>
      <c r="AJ703" s="100">
        <f t="shared" si="410"/>
        <v>0</v>
      </c>
      <c r="AK703" s="100">
        <v>0</v>
      </c>
      <c r="AL703" s="100">
        <v>24290</v>
      </c>
      <c r="AM703" s="100">
        <v>0</v>
      </c>
      <c r="AN703" s="100">
        <v>0</v>
      </c>
      <c r="AO703" s="100">
        <v>0</v>
      </c>
      <c r="AP703" s="100">
        <f t="shared" ref="AP703:AP729" si="414">ROUNDUP(SUM(AI703:AO703)*5%,0)</f>
        <v>139649</v>
      </c>
      <c r="AQ703" s="101">
        <f t="shared" si="404"/>
        <v>2932622</v>
      </c>
      <c r="AR703" s="101">
        <v>0</v>
      </c>
      <c r="AS703" s="101">
        <v>0</v>
      </c>
      <c r="AT703" s="102" t="s">
        <v>33</v>
      </c>
      <c r="AU703" s="109">
        <v>14</v>
      </c>
      <c r="AV703" s="100">
        <f>32.88-19.38</f>
        <v>13.500000000000004</v>
      </c>
      <c r="AW703" s="105">
        <v>0</v>
      </c>
      <c r="AX703" s="216">
        <f t="shared" ref="AX703:AX713" si="415">IFERROR((AG703/AF703)*100, "")</f>
        <v>1.3614282244352727</v>
      </c>
      <c r="AY703" s="217">
        <f t="shared" ref="AY703:AY713" si="416">ROUNDUP(AG703*AH703,0)</f>
        <v>37694</v>
      </c>
      <c r="AZ703" s="107"/>
      <c r="BA703" s="206">
        <v>45569.979166666664</v>
      </c>
      <c r="BB703" s="206">
        <v>45569.982638888891</v>
      </c>
      <c r="BC703" s="206">
        <v>45569.982638888891</v>
      </c>
      <c r="BD703" s="206">
        <v>45570.143750000003</v>
      </c>
      <c r="BE703" s="95">
        <f t="shared" ref="BE703:BE714" si="417">+BD703-BA703</f>
        <v>0.16458333333866904</v>
      </c>
      <c r="BF703" s="258">
        <v>0</v>
      </c>
      <c r="BG703" s="258">
        <v>0</v>
      </c>
      <c r="BH703" s="95">
        <f t="shared" ref="BH703:BJ714" si="418">+BB703-BA703</f>
        <v>3.4722222262644209E-3</v>
      </c>
      <c r="BI703" s="95">
        <f t="shared" si="418"/>
        <v>0</v>
      </c>
      <c r="BJ703" s="95">
        <f t="shared" si="418"/>
        <v>0.16111111111240461</v>
      </c>
      <c r="BK703" s="95">
        <f t="shared" ref="BK703:BK714" si="419">+BI703+BJ703</f>
        <v>0.16111111111240461</v>
      </c>
      <c r="BL703" s="95">
        <f t="shared" ref="BL703:BL714" si="420">+BE703-BH703-BF703-BG703</f>
        <v>0.16111111111240461</v>
      </c>
      <c r="BM703" s="95" t="str">
        <f t="shared" ref="BM703:BM714" si="421">IF(VALUE(BE703)&lt;=VALUE("05:00"),"00:00",VALUE(BE703)-VALUE("05:00"))</f>
        <v>00:00</v>
      </c>
      <c r="BN703" s="110"/>
    </row>
    <row r="704" spans="1:66" s="8" customFormat="1" ht="12.75" customHeight="1" x14ac:dyDescent="0.25">
      <c r="A704" s="150">
        <v>639</v>
      </c>
      <c r="B704" s="150">
        <v>12</v>
      </c>
      <c r="C704" s="90">
        <v>2</v>
      </c>
      <c r="D704" s="111" t="s">
        <v>113</v>
      </c>
      <c r="E704" s="210" t="s">
        <v>909</v>
      </c>
      <c r="F704" s="150" t="s">
        <v>32</v>
      </c>
      <c r="G704" s="150" t="s">
        <v>15</v>
      </c>
      <c r="H704" s="150" t="s">
        <v>805</v>
      </c>
      <c r="I704" s="150" t="s">
        <v>132</v>
      </c>
      <c r="J704" s="151">
        <v>45570</v>
      </c>
      <c r="K704" s="135" t="s">
        <v>117</v>
      </c>
      <c r="L704" s="135">
        <v>241000408</v>
      </c>
      <c r="M704" s="151">
        <v>45570</v>
      </c>
      <c r="N704" s="152">
        <v>45570.288194444445</v>
      </c>
      <c r="O704" s="152">
        <v>45570.288194444445</v>
      </c>
      <c r="P704" s="152">
        <v>45570.291666666664</v>
      </c>
      <c r="Q704" s="152">
        <v>45570.479166666664</v>
      </c>
      <c r="R704" s="152" t="s">
        <v>118</v>
      </c>
      <c r="S704" s="152" t="s">
        <v>118</v>
      </c>
      <c r="T704" s="152">
        <v>45570.520833333336</v>
      </c>
      <c r="U704" s="152">
        <v>45570.651388888888</v>
      </c>
      <c r="V704" s="219">
        <f t="shared" si="412"/>
        <v>0.19097222221898846</v>
      </c>
      <c r="W704" s="203">
        <v>0.20833333333333334</v>
      </c>
      <c r="X704" s="219" t="str">
        <f t="shared" si="413"/>
        <v>00:00</v>
      </c>
      <c r="Y704" s="96">
        <v>0</v>
      </c>
      <c r="Z704" s="96">
        <v>58</v>
      </c>
      <c r="AA704" s="96">
        <f t="shared" si="395"/>
        <v>58</v>
      </c>
      <c r="AB704" s="97">
        <f t="shared" si="396"/>
        <v>0</v>
      </c>
      <c r="AC704" s="97">
        <f t="shared" si="397"/>
        <v>3845.7999999999997</v>
      </c>
      <c r="AD704" s="98">
        <v>3845.8</v>
      </c>
      <c r="AE704" s="98">
        <v>4033.9</v>
      </c>
      <c r="AF704" s="98">
        <v>4034.6</v>
      </c>
      <c r="AG704" s="98">
        <f t="shared" si="398"/>
        <v>188.79999999999973</v>
      </c>
      <c r="AH704" s="99">
        <v>1435.6</v>
      </c>
      <c r="AI704" s="100">
        <f t="shared" si="399"/>
        <v>5792071.7599999998</v>
      </c>
      <c r="AJ704" s="100">
        <f t="shared" si="410"/>
        <v>0</v>
      </c>
      <c r="AK704" s="100">
        <v>0</v>
      </c>
      <c r="AL704" s="100">
        <v>0</v>
      </c>
      <c r="AM704" s="100">
        <v>0</v>
      </c>
      <c r="AN704" s="100">
        <v>0</v>
      </c>
      <c r="AO704" s="100">
        <v>0</v>
      </c>
      <c r="AP704" s="100">
        <f t="shared" si="414"/>
        <v>289604</v>
      </c>
      <c r="AQ704" s="101">
        <f t="shared" si="404"/>
        <v>6081676</v>
      </c>
      <c r="AR704" s="101">
        <v>0</v>
      </c>
      <c r="AS704" s="101">
        <v>0</v>
      </c>
      <c r="AT704" s="102" t="s">
        <v>34</v>
      </c>
      <c r="AU704" s="109" t="s">
        <v>118</v>
      </c>
      <c r="AV704" s="100">
        <v>0</v>
      </c>
      <c r="AW704" s="105">
        <v>0</v>
      </c>
      <c r="AX704" s="216">
        <f t="shared" si="415"/>
        <v>4.6795221335448307</v>
      </c>
      <c r="AY704" s="217">
        <f t="shared" si="416"/>
        <v>271042</v>
      </c>
      <c r="AZ704" s="107"/>
      <c r="BA704" s="94">
        <v>45570.288194444445</v>
      </c>
      <c r="BB704" s="94">
        <v>45570.291666666664</v>
      </c>
      <c r="BC704" s="94">
        <v>45570.291666666664</v>
      </c>
      <c r="BD704" s="94">
        <v>45570.440972222219</v>
      </c>
      <c r="BE704" s="95">
        <f t="shared" si="417"/>
        <v>0.15277777777373558</v>
      </c>
      <c r="BF704" s="95">
        <v>0</v>
      </c>
      <c r="BG704" s="95">
        <v>4.5138888888888888E-2</v>
      </c>
      <c r="BH704" s="95">
        <f t="shared" si="418"/>
        <v>3.4722222189884633E-3</v>
      </c>
      <c r="BI704" s="95">
        <f t="shared" si="418"/>
        <v>0</v>
      </c>
      <c r="BJ704" s="95">
        <f t="shared" si="418"/>
        <v>0.14930555555474712</v>
      </c>
      <c r="BK704" s="95">
        <f t="shared" si="419"/>
        <v>0.14930555555474712</v>
      </c>
      <c r="BL704" s="95">
        <f t="shared" si="420"/>
        <v>0.10416666666585822</v>
      </c>
      <c r="BM704" s="95" t="str">
        <f t="shared" si="421"/>
        <v>00:00</v>
      </c>
      <c r="BN704" s="110"/>
    </row>
    <row r="705" spans="1:66" s="8" customFormat="1" ht="12.75" customHeight="1" x14ac:dyDescent="0.25">
      <c r="A705" s="150">
        <v>640</v>
      </c>
      <c r="B705" s="150">
        <v>13</v>
      </c>
      <c r="C705" s="90">
        <v>6</v>
      </c>
      <c r="D705" s="111" t="s">
        <v>148</v>
      </c>
      <c r="E705" s="210" t="s">
        <v>904</v>
      </c>
      <c r="F705" s="150" t="s">
        <v>16</v>
      </c>
      <c r="G705" s="150" t="s">
        <v>17</v>
      </c>
      <c r="H705" s="150" t="s">
        <v>150</v>
      </c>
      <c r="I705" s="150" t="s">
        <v>164</v>
      </c>
      <c r="J705" s="151">
        <v>45570</v>
      </c>
      <c r="K705" s="135" t="s">
        <v>122</v>
      </c>
      <c r="L705" s="135">
        <v>461000497</v>
      </c>
      <c r="M705" s="151">
        <v>45570</v>
      </c>
      <c r="N705" s="152">
        <v>45570.503472222219</v>
      </c>
      <c r="O705" s="152">
        <v>45570.503472222219</v>
      </c>
      <c r="P705" s="152">
        <v>45570.506944444445</v>
      </c>
      <c r="Q705" s="152">
        <v>45570.708333333336</v>
      </c>
      <c r="R705" s="152" t="s">
        <v>118</v>
      </c>
      <c r="S705" s="152" t="s">
        <v>118</v>
      </c>
      <c r="T705" s="152">
        <v>45570.75</v>
      </c>
      <c r="U705" s="152">
        <v>45570.8</v>
      </c>
      <c r="V705" s="219">
        <f t="shared" si="412"/>
        <v>0.20486111111677019</v>
      </c>
      <c r="W705" s="203">
        <v>0.20833333333333334</v>
      </c>
      <c r="X705" s="219" t="str">
        <f t="shared" si="413"/>
        <v>00:00</v>
      </c>
      <c r="Y705" s="96">
        <v>10</v>
      </c>
      <c r="Z705" s="96">
        <v>48</v>
      </c>
      <c r="AA705" s="96">
        <f t="shared" si="395"/>
        <v>58</v>
      </c>
      <c r="AB705" s="97">
        <f t="shared" si="396"/>
        <v>666.5793103448276</v>
      </c>
      <c r="AC705" s="97">
        <f t="shared" si="397"/>
        <v>3199.5806896551721</v>
      </c>
      <c r="AD705" s="98">
        <v>3866.16</v>
      </c>
      <c r="AE705" s="98">
        <v>4007.5</v>
      </c>
      <c r="AF705" s="98">
        <v>4007.6</v>
      </c>
      <c r="AG705" s="98">
        <f t="shared" si="398"/>
        <v>141.44000000000005</v>
      </c>
      <c r="AH705" s="99">
        <v>672.5</v>
      </c>
      <c r="AI705" s="100">
        <f t="shared" si="399"/>
        <v>2695111</v>
      </c>
      <c r="AJ705" s="100">
        <f t="shared" si="410"/>
        <v>0</v>
      </c>
      <c r="AK705" s="100">
        <v>0</v>
      </c>
      <c r="AL705" s="100">
        <v>0</v>
      </c>
      <c r="AM705" s="100">
        <v>0</v>
      </c>
      <c r="AN705" s="100">
        <v>0</v>
      </c>
      <c r="AO705" s="100">
        <v>0</v>
      </c>
      <c r="AP705" s="100">
        <f t="shared" si="414"/>
        <v>134756</v>
      </c>
      <c r="AQ705" s="101">
        <f t="shared" si="404"/>
        <v>2829867</v>
      </c>
      <c r="AR705" s="101">
        <v>0</v>
      </c>
      <c r="AS705" s="101">
        <v>0</v>
      </c>
      <c r="AT705" s="102" t="s">
        <v>34</v>
      </c>
      <c r="AU705" s="109" t="s">
        <v>118</v>
      </c>
      <c r="AV705" s="100">
        <v>0</v>
      </c>
      <c r="AW705" s="105">
        <v>0</v>
      </c>
      <c r="AX705" s="216">
        <f t="shared" si="415"/>
        <v>3.5292943407525716</v>
      </c>
      <c r="AY705" s="217">
        <f t="shared" si="416"/>
        <v>95119</v>
      </c>
      <c r="AZ705" s="107"/>
      <c r="BA705" s="94">
        <v>45570.503472222219</v>
      </c>
      <c r="BB705" s="94">
        <v>45570.506944444445</v>
      </c>
      <c r="BC705" s="94">
        <v>45570.506944444445</v>
      </c>
      <c r="BD705" s="94">
        <v>45570.652083333334</v>
      </c>
      <c r="BE705" s="95">
        <f t="shared" si="417"/>
        <v>0.148611111115315</v>
      </c>
      <c r="BF705" s="95">
        <v>6.9444444444444441E-3</v>
      </c>
      <c r="BG705" s="95">
        <v>0</v>
      </c>
      <c r="BH705" s="95">
        <f t="shared" si="418"/>
        <v>3.4722222262644209E-3</v>
      </c>
      <c r="BI705" s="95">
        <f t="shared" si="418"/>
        <v>0</v>
      </c>
      <c r="BJ705" s="95">
        <f t="shared" si="418"/>
        <v>0.14513888888905058</v>
      </c>
      <c r="BK705" s="95">
        <f t="shared" si="419"/>
        <v>0.14513888888905058</v>
      </c>
      <c r="BL705" s="95">
        <f t="shared" si="420"/>
        <v>0.13819444444460613</v>
      </c>
      <c r="BM705" s="95" t="str">
        <f t="shared" si="421"/>
        <v>00:00</v>
      </c>
      <c r="BN705" s="110"/>
    </row>
    <row r="706" spans="1:66" s="8" customFormat="1" ht="12.75" customHeight="1" x14ac:dyDescent="0.25">
      <c r="A706" s="150">
        <v>641</v>
      </c>
      <c r="B706" s="150">
        <v>14</v>
      </c>
      <c r="C706" s="90">
        <v>7</v>
      </c>
      <c r="D706" s="111" t="s">
        <v>148</v>
      </c>
      <c r="E706" s="210" t="s">
        <v>904</v>
      </c>
      <c r="F706" s="150" t="s">
        <v>16</v>
      </c>
      <c r="G706" s="150" t="s">
        <v>17</v>
      </c>
      <c r="H706" s="150" t="s">
        <v>150</v>
      </c>
      <c r="I706" s="150" t="s">
        <v>166</v>
      </c>
      <c r="J706" s="151">
        <v>45570</v>
      </c>
      <c r="K706" s="135" t="s">
        <v>117</v>
      </c>
      <c r="L706" s="135">
        <v>461000498</v>
      </c>
      <c r="M706" s="151">
        <v>45571</v>
      </c>
      <c r="N706" s="152">
        <v>45570.71875</v>
      </c>
      <c r="O706" s="152">
        <v>45570.71875</v>
      </c>
      <c r="P706" s="152">
        <v>45570.729166666664</v>
      </c>
      <c r="Q706" s="152">
        <v>45570.916666666664</v>
      </c>
      <c r="R706" s="152" t="s">
        <v>118</v>
      </c>
      <c r="S706" s="152" t="s">
        <v>118</v>
      </c>
      <c r="T706" s="152">
        <v>45570.9375</v>
      </c>
      <c r="U706" s="152">
        <v>45571.078472222223</v>
      </c>
      <c r="V706" s="219">
        <f t="shared" si="412"/>
        <v>0.19791666666424135</v>
      </c>
      <c r="W706" s="203">
        <v>0.20833333333333334</v>
      </c>
      <c r="X706" s="219" t="str">
        <f t="shared" si="413"/>
        <v>00:00</v>
      </c>
      <c r="Y706" s="96">
        <v>12</v>
      </c>
      <c r="Z706" s="96">
        <v>47</v>
      </c>
      <c r="AA706" s="96">
        <f t="shared" si="395"/>
        <v>59</v>
      </c>
      <c r="AB706" s="97">
        <f t="shared" si="396"/>
        <v>817.62508474576259</v>
      </c>
      <c r="AC706" s="97">
        <f t="shared" si="397"/>
        <v>3202.3649152542366</v>
      </c>
      <c r="AD706" s="98">
        <v>4019.99</v>
      </c>
      <c r="AE706" s="98">
        <v>4093.6</v>
      </c>
      <c r="AF706" s="98">
        <v>4096.3999999999996</v>
      </c>
      <c r="AG706" s="98">
        <f t="shared" si="398"/>
        <v>76.409999999999854</v>
      </c>
      <c r="AH706" s="99">
        <v>672.5</v>
      </c>
      <c r="AI706" s="100">
        <f t="shared" si="399"/>
        <v>2754828.9999999995</v>
      </c>
      <c r="AJ706" s="100">
        <f t="shared" si="410"/>
        <v>0</v>
      </c>
      <c r="AK706" s="100">
        <v>0</v>
      </c>
      <c r="AL706" s="100">
        <v>0</v>
      </c>
      <c r="AM706" s="100">
        <v>0</v>
      </c>
      <c r="AN706" s="100">
        <v>0</v>
      </c>
      <c r="AO706" s="100">
        <v>0</v>
      </c>
      <c r="AP706" s="100">
        <f t="shared" si="414"/>
        <v>137742</v>
      </c>
      <c r="AQ706" s="101">
        <f t="shared" si="404"/>
        <v>2892571</v>
      </c>
      <c r="AR706" s="101">
        <v>0</v>
      </c>
      <c r="AS706" s="101">
        <v>0</v>
      </c>
      <c r="AT706" s="102" t="s">
        <v>33</v>
      </c>
      <c r="AU706" s="109" t="s">
        <v>118</v>
      </c>
      <c r="AV706" s="100">
        <v>0</v>
      </c>
      <c r="AW706" s="105">
        <v>0</v>
      </c>
      <c r="AX706" s="216">
        <f t="shared" si="415"/>
        <v>1.8652963577775576</v>
      </c>
      <c r="AY706" s="217">
        <f t="shared" si="416"/>
        <v>51386</v>
      </c>
      <c r="AZ706" s="107"/>
      <c r="BA706" s="94">
        <v>45570.71875</v>
      </c>
      <c r="BB706" s="94">
        <v>45570.729166666664</v>
      </c>
      <c r="BC706" s="94">
        <v>45570.729166666664</v>
      </c>
      <c r="BD706" s="94">
        <v>45570.895138888889</v>
      </c>
      <c r="BE706" s="95">
        <f t="shared" si="417"/>
        <v>0.17638888888905058</v>
      </c>
      <c r="BF706" s="95">
        <v>9.0277777777777769E-3</v>
      </c>
      <c r="BG706" s="95">
        <v>2.0833333333333333E-3</v>
      </c>
      <c r="BH706" s="95">
        <f t="shared" si="418"/>
        <v>1.0416666664241347E-2</v>
      </c>
      <c r="BI706" s="95">
        <f t="shared" si="418"/>
        <v>0</v>
      </c>
      <c r="BJ706" s="95">
        <f t="shared" si="418"/>
        <v>0.16597222222480923</v>
      </c>
      <c r="BK706" s="95">
        <f t="shared" si="419"/>
        <v>0.16597222222480923</v>
      </c>
      <c r="BL706" s="95">
        <f t="shared" si="420"/>
        <v>0.15486111111369813</v>
      </c>
      <c r="BM706" s="95" t="str">
        <f t="shared" si="421"/>
        <v>00:00</v>
      </c>
      <c r="BN706" s="110"/>
    </row>
    <row r="707" spans="1:66" s="8" customFormat="1" ht="12.75" customHeight="1" x14ac:dyDescent="0.25">
      <c r="A707" s="150">
        <v>642</v>
      </c>
      <c r="B707" s="150">
        <v>15</v>
      </c>
      <c r="C707" s="90">
        <v>3</v>
      </c>
      <c r="D707" s="111" t="s">
        <v>113</v>
      </c>
      <c r="E707" s="210" t="s">
        <v>909</v>
      </c>
      <c r="F707" s="150" t="s">
        <v>32</v>
      </c>
      <c r="G707" s="150" t="s">
        <v>15</v>
      </c>
      <c r="H707" s="150" t="s">
        <v>135</v>
      </c>
      <c r="I707" s="150" t="s">
        <v>915</v>
      </c>
      <c r="J707" s="151">
        <v>45297</v>
      </c>
      <c r="K707" s="135" t="s">
        <v>122</v>
      </c>
      <c r="L707" s="135">
        <v>241000409</v>
      </c>
      <c r="M707" s="151">
        <v>45571</v>
      </c>
      <c r="N707" s="152">
        <v>45571.177083333336</v>
      </c>
      <c r="O707" s="152">
        <v>45571.177083333336</v>
      </c>
      <c r="P707" s="152">
        <v>45571.180555555555</v>
      </c>
      <c r="Q707" s="152">
        <v>45571.375</v>
      </c>
      <c r="R707" s="152" t="s">
        <v>118</v>
      </c>
      <c r="S707" s="152" t="s">
        <v>118</v>
      </c>
      <c r="T707" s="152">
        <v>45571.395833333336</v>
      </c>
      <c r="U707" s="152">
        <v>45571.490277777775</v>
      </c>
      <c r="V707" s="219">
        <f t="shared" si="412"/>
        <v>0.19791666666424135</v>
      </c>
      <c r="W707" s="203">
        <v>0.20833333333333334</v>
      </c>
      <c r="X707" s="219" t="str">
        <f t="shared" si="413"/>
        <v>00:00</v>
      </c>
      <c r="Y707" s="96">
        <v>0</v>
      </c>
      <c r="Z707" s="96">
        <v>59</v>
      </c>
      <c r="AA707" s="96">
        <f t="shared" si="395"/>
        <v>59</v>
      </c>
      <c r="AB707" s="97">
        <f t="shared" si="396"/>
        <v>0</v>
      </c>
      <c r="AC707" s="97">
        <f t="shared" si="397"/>
        <v>3956.06</v>
      </c>
      <c r="AD707" s="98">
        <v>3956.06</v>
      </c>
      <c r="AE707" s="98">
        <v>4107.5</v>
      </c>
      <c r="AF707" s="98">
        <v>4107.6000000000004</v>
      </c>
      <c r="AG707" s="98">
        <f t="shared" si="398"/>
        <v>151.54000000000042</v>
      </c>
      <c r="AH707" s="99">
        <v>797.2</v>
      </c>
      <c r="AI707" s="100">
        <f t="shared" si="399"/>
        <v>3274578.7200000007</v>
      </c>
      <c r="AJ707" s="100">
        <f t="shared" si="410"/>
        <v>0</v>
      </c>
      <c r="AK707" s="100">
        <v>0</v>
      </c>
      <c r="AL707" s="100">
        <v>0</v>
      </c>
      <c r="AM707" s="100">
        <v>0</v>
      </c>
      <c r="AN707" s="100">
        <v>0</v>
      </c>
      <c r="AO707" s="100">
        <v>0</v>
      </c>
      <c r="AP707" s="100">
        <f t="shared" si="414"/>
        <v>163729</v>
      </c>
      <c r="AQ707" s="101">
        <f t="shared" si="404"/>
        <v>3438308</v>
      </c>
      <c r="AR707" s="101">
        <v>0</v>
      </c>
      <c r="AS707" s="101">
        <v>0</v>
      </c>
      <c r="AT707" s="102" t="s">
        <v>33</v>
      </c>
      <c r="AU707" s="109" t="s">
        <v>118</v>
      </c>
      <c r="AV707" s="100">
        <v>0</v>
      </c>
      <c r="AW707" s="105">
        <v>0</v>
      </c>
      <c r="AX707" s="216">
        <f t="shared" si="415"/>
        <v>3.6892589346577171</v>
      </c>
      <c r="AY707" s="217">
        <f t="shared" si="416"/>
        <v>120808</v>
      </c>
      <c r="AZ707" s="107"/>
      <c r="BA707" s="94">
        <v>45571.170138888891</v>
      </c>
      <c r="BB707" s="94">
        <v>45571.173611111109</v>
      </c>
      <c r="BC707" s="94">
        <v>45571.173611111109</v>
      </c>
      <c r="BD707" s="94">
        <v>45571.347222222219</v>
      </c>
      <c r="BE707" s="95">
        <f t="shared" si="417"/>
        <v>0.17708333332848269</v>
      </c>
      <c r="BF707" s="95">
        <v>0</v>
      </c>
      <c r="BG707" s="95">
        <v>5.8333333333333334E-2</v>
      </c>
      <c r="BH707" s="95">
        <f t="shared" si="418"/>
        <v>3.4722222189884633E-3</v>
      </c>
      <c r="BI707" s="95">
        <f t="shared" si="418"/>
        <v>0</v>
      </c>
      <c r="BJ707" s="95">
        <f t="shared" si="418"/>
        <v>0.17361111110949423</v>
      </c>
      <c r="BK707" s="95">
        <f t="shared" si="419"/>
        <v>0.17361111110949423</v>
      </c>
      <c r="BL707" s="95">
        <f t="shared" si="420"/>
        <v>0.1152777777761609</v>
      </c>
      <c r="BM707" s="95" t="str">
        <f t="shared" si="421"/>
        <v>00:00</v>
      </c>
      <c r="BN707" s="110"/>
    </row>
    <row r="708" spans="1:66" s="8" customFormat="1" ht="12.75" customHeight="1" x14ac:dyDescent="0.25">
      <c r="A708" s="150">
        <v>643</v>
      </c>
      <c r="B708" s="150">
        <v>16</v>
      </c>
      <c r="C708" s="90">
        <v>11</v>
      </c>
      <c r="D708" s="111" t="s">
        <v>113</v>
      </c>
      <c r="E708" s="210" t="s">
        <v>771</v>
      </c>
      <c r="F708" s="150" t="s">
        <v>27</v>
      </c>
      <c r="G708" s="150" t="s">
        <v>12</v>
      </c>
      <c r="H708" s="150" t="s">
        <v>115</v>
      </c>
      <c r="I708" s="150" t="s">
        <v>916</v>
      </c>
      <c r="J708" s="151">
        <v>45297</v>
      </c>
      <c r="K708" s="135" t="s">
        <v>117</v>
      </c>
      <c r="L708" s="135">
        <v>282001031</v>
      </c>
      <c r="M708" s="151">
        <v>45572</v>
      </c>
      <c r="N708" s="152">
        <v>45571.545138888891</v>
      </c>
      <c r="O708" s="152">
        <v>45571.545138888891</v>
      </c>
      <c r="P708" s="152">
        <v>45571.548611111109</v>
      </c>
      <c r="Q708" s="152">
        <v>45571.75</v>
      </c>
      <c r="R708" s="152" t="s">
        <v>118</v>
      </c>
      <c r="S708" s="152" t="s">
        <v>118</v>
      </c>
      <c r="T708" s="152">
        <v>45571.770833333336</v>
      </c>
      <c r="U708" s="152">
        <v>45571.927083333336</v>
      </c>
      <c r="V708" s="219">
        <f t="shared" si="412"/>
        <v>0.20486111110949423</v>
      </c>
      <c r="W708" s="203">
        <v>0.20833333333333334</v>
      </c>
      <c r="X708" s="219" t="str">
        <f t="shared" si="413"/>
        <v>00:00</v>
      </c>
      <c r="Y708" s="96">
        <v>0</v>
      </c>
      <c r="Z708" s="96">
        <v>58</v>
      </c>
      <c r="AA708" s="96">
        <f t="shared" si="395"/>
        <v>58</v>
      </c>
      <c r="AB708" s="97">
        <f t="shared" si="396"/>
        <v>0</v>
      </c>
      <c r="AC708" s="97">
        <f t="shared" si="397"/>
        <v>4105.3999999999996</v>
      </c>
      <c r="AD708" s="98">
        <v>4105.3999999999996</v>
      </c>
      <c r="AE708" s="98">
        <v>4059.4</v>
      </c>
      <c r="AF708" s="98">
        <v>4116.3999999999996</v>
      </c>
      <c r="AG708" s="98">
        <f t="shared" si="398"/>
        <v>11</v>
      </c>
      <c r="AH708" s="99">
        <v>1586.7</v>
      </c>
      <c r="AI708" s="100">
        <f t="shared" si="399"/>
        <v>6531491.8799999999</v>
      </c>
      <c r="AJ708" s="100">
        <f t="shared" si="410"/>
        <v>0</v>
      </c>
      <c r="AK708" s="100">
        <v>0</v>
      </c>
      <c r="AL708" s="100">
        <v>72420</v>
      </c>
      <c r="AM708" s="100">
        <v>0</v>
      </c>
      <c r="AN708" s="100">
        <v>0</v>
      </c>
      <c r="AO708" s="100">
        <f>IFERROR(AF708*20+(((AJ708/AH708)/2)*20),0)</f>
        <v>82328</v>
      </c>
      <c r="AP708" s="100">
        <f t="shared" si="414"/>
        <v>334312</v>
      </c>
      <c r="AQ708" s="101">
        <f t="shared" si="404"/>
        <v>7020552</v>
      </c>
      <c r="AR708" s="101">
        <v>0</v>
      </c>
      <c r="AS708" s="101">
        <v>0</v>
      </c>
      <c r="AT708" s="102" t="s">
        <v>686</v>
      </c>
      <c r="AU708" s="109">
        <v>57</v>
      </c>
      <c r="AV708" s="100">
        <f>220.8-46.8</f>
        <v>174</v>
      </c>
      <c r="AW708" s="105">
        <v>0</v>
      </c>
      <c r="AX708" s="216">
        <f t="shared" si="415"/>
        <v>0.26722378777572642</v>
      </c>
      <c r="AY708" s="217">
        <f t="shared" si="416"/>
        <v>17454</v>
      </c>
      <c r="AZ708" s="107"/>
      <c r="BA708" s="94">
        <v>45571.545138888891</v>
      </c>
      <c r="BB708" s="94">
        <v>45571.548611111109</v>
      </c>
      <c r="BC708" s="94">
        <v>45571.552083333336</v>
      </c>
      <c r="BD708" s="94">
        <v>45571.727083333331</v>
      </c>
      <c r="BE708" s="95">
        <f t="shared" si="417"/>
        <v>0.18194444444088731</v>
      </c>
      <c r="BF708" s="95">
        <v>1.9444444444444445E-2</v>
      </c>
      <c r="BG708" s="95">
        <v>1.0416666666666666E-2</v>
      </c>
      <c r="BH708" s="95">
        <f t="shared" si="418"/>
        <v>3.4722222189884633E-3</v>
      </c>
      <c r="BI708" s="95">
        <f t="shared" si="418"/>
        <v>3.4722222262644209E-3</v>
      </c>
      <c r="BJ708" s="95">
        <f t="shared" si="418"/>
        <v>0.17499999999563443</v>
      </c>
      <c r="BK708" s="95">
        <f t="shared" si="419"/>
        <v>0.17847222222189885</v>
      </c>
      <c r="BL708" s="95">
        <f t="shared" si="420"/>
        <v>0.14861111111078776</v>
      </c>
      <c r="BM708" s="95" t="str">
        <f t="shared" si="421"/>
        <v>00:00</v>
      </c>
      <c r="BN708" s="110"/>
    </row>
    <row r="709" spans="1:66" s="8" customFormat="1" ht="12.75" customHeight="1" x14ac:dyDescent="0.25">
      <c r="A709" s="150">
        <v>644</v>
      </c>
      <c r="B709" s="150">
        <v>17</v>
      </c>
      <c r="C709" s="90">
        <v>8</v>
      </c>
      <c r="D709" s="111" t="s">
        <v>148</v>
      </c>
      <c r="E709" s="210" t="s">
        <v>904</v>
      </c>
      <c r="F709" s="150" t="s">
        <v>16</v>
      </c>
      <c r="G709" s="150" t="s">
        <v>17</v>
      </c>
      <c r="H709" s="150" t="s">
        <v>150</v>
      </c>
      <c r="I709" s="150" t="s">
        <v>171</v>
      </c>
      <c r="J709" s="151">
        <v>45297</v>
      </c>
      <c r="K709" s="135" t="s">
        <v>122</v>
      </c>
      <c r="L709" s="135">
        <v>461000499</v>
      </c>
      <c r="M709" s="151">
        <v>45572</v>
      </c>
      <c r="N709" s="152">
        <v>45571.763888888891</v>
      </c>
      <c r="O709" s="152">
        <v>45571.763888888891</v>
      </c>
      <c r="P709" s="152">
        <v>45571.767361111109</v>
      </c>
      <c r="Q709" s="152">
        <v>45571.972222222219</v>
      </c>
      <c r="R709" s="152" t="s">
        <v>118</v>
      </c>
      <c r="S709" s="152">
        <v>45572.003472222219</v>
      </c>
      <c r="T709" s="152">
        <v>45572.147916666669</v>
      </c>
      <c r="U709" s="152">
        <v>45572.239583333336</v>
      </c>
      <c r="V709" s="219">
        <f t="shared" si="412"/>
        <v>0.20833333332848269</v>
      </c>
      <c r="W709" s="203">
        <v>0.20833333333333334</v>
      </c>
      <c r="X709" s="219" t="str">
        <f t="shared" si="413"/>
        <v>00:00</v>
      </c>
      <c r="Y709" s="96">
        <v>2</v>
      </c>
      <c r="Z709" s="96">
        <v>57</v>
      </c>
      <c r="AA709" s="96">
        <f t="shared" si="395"/>
        <v>59</v>
      </c>
      <c r="AB709" s="97">
        <f t="shared" si="396"/>
        <v>139.91423728813561</v>
      </c>
      <c r="AC709" s="97">
        <f t="shared" si="397"/>
        <v>3987.5557627118651</v>
      </c>
      <c r="AD709" s="98">
        <v>4127.47</v>
      </c>
      <c r="AE709" s="98">
        <v>4100.3999999999996</v>
      </c>
      <c r="AF709" s="98">
        <v>4146.8</v>
      </c>
      <c r="AG709" s="98">
        <f t="shared" si="398"/>
        <v>19.329999999999927</v>
      </c>
      <c r="AH709" s="99">
        <v>672.5</v>
      </c>
      <c r="AI709" s="100">
        <f t="shared" si="399"/>
        <v>2788723</v>
      </c>
      <c r="AJ709" s="100">
        <f t="shared" si="410"/>
        <v>0</v>
      </c>
      <c r="AK709" s="100">
        <v>0</v>
      </c>
      <c r="AL709" s="100">
        <v>48580</v>
      </c>
      <c r="AM709" s="100">
        <v>0</v>
      </c>
      <c r="AN709" s="100">
        <v>0</v>
      </c>
      <c r="AO709" s="100">
        <v>0</v>
      </c>
      <c r="AP709" s="100">
        <f t="shared" si="414"/>
        <v>141866</v>
      </c>
      <c r="AQ709" s="101">
        <f t="shared" si="404"/>
        <v>2979169</v>
      </c>
      <c r="AR709" s="101">
        <v>0</v>
      </c>
      <c r="AS709" s="101">
        <v>0</v>
      </c>
      <c r="AT709" s="102" t="s">
        <v>33</v>
      </c>
      <c r="AU709" s="109">
        <v>45</v>
      </c>
      <c r="AV709" s="100">
        <f>159.59-35.59</f>
        <v>124</v>
      </c>
      <c r="AW709" s="105">
        <v>1</v>
      </c>
      <c r="AX709" s="216">
        <f t="shared" si="415"/>
        <v>0.46614256776309265</v>
      </c>
      <c r="AY709" s="217">
        <f t="shared" si="416"/>
        <v>13000</v>
      </c>
      <c r="AZ709" s="107"/>
      <c r="BA709" s="94">
        <v>45571.756944444445</v>
      </c>
      <c r="BB709" s="94">
        <v>45571.760416666664</v>
      </c>
      <c r="BC709" s="94">
        <v>45571.760416666664</v>
      </c>
      <c r="BD709" s="94">
        <v>45571.998611111114</v>
      </c>
      <c r="BE709" s="95">
        <f t="shared" si="417"/>
        <v>0.24166666666860692</v>
      </c>
      <c r="BF709" s="95">
        <v>4.1666666666666664E-2</v>
      </c>
      <c r="BG709" s="95">
        <v>2.1527777777777778E-2</v>
      </c>
      <c r="BH709" s="95">
        <f t="shared" si="418"/>
        <v>3.4722222189884633E-3</v>
      </c>
      <c r="BI709" s="95">
        <f t="shared" si="418"/>
        <v>0</v>
      </c>
      <c r="BJ709" s="95">
        <f t="shared" si="418"/>
        <v>0.23819444444961846</v>
      </c>
      <c r="BK709" s="95">
        <f t="shared" si="419"/>
        <v>0.23819444444961846</v>
      </c>
      <c r="BL709" s="95">
        <f t="shared" si="420"/>
        <v>0.17500000000517402</v>
      </c>
      <c r="BM709" s="95">
        <f t="shared" si="421"/>
        <v>3.3333333335273579E-2</v>
      </c>
      <c r="BN709" s="110"/>
    </row>
    <row r="710" spans="1:66" s="8" customFormat="1" ht="12.75" customHeight="1" x14ac:dyDescent="0.25">
      <c r="A710" s="150">
        <v>645</v>
      </c>
      <c r="B710" s="150">
        <v>18</v>
      </c>
      <c r="C710" s="90">
        <v>4</v>
      </c>
      <c r="D710" s="111" t="s">
        <v>113</v>
      </c>
      <c r="E710" s="210" t="s">
        <v>909</v>
      </c>
      <c r="F710" s="150" t="s">
        <v>32</v>
      </c>
      <c r="G710" s="150" t="s">
        <v>15</v>
      </c>
      <c r="H710" s="150" t="s">
        <v>135</v>
      </c>
      <c r="I710" s="150" t="s">
        <v>917</v>
      </c>
      <c r="J710" s="151">
        <v>45572</v>
      </c>
      <c r="K710" s="135" t="s">
        <v>117</v>
      </c>
      <c r="L710" s="135">
        <v>241000410</v>
      </c>
      <c r="M710" s="151">
        <v>45572</v>
      </c>
      <c r="N710" s="152">
        <v>45572.125</v>
      </c>
      <c r="O710" s="152">
        <v>45572.125</v>
      </c>
      <c r="P710" s="152">
        <v>45572.135416666664</v>
      </c>
      <c r="Q710" s="152">
        <v>45572.333333333336</v>
      </c>
      <c r="R710" s="152" t="s">
        <v>118</v>
      </c>
      <c r="S710" s="152" t="s">
        <v>118</v>
      </c>
      <c r="T710" s="152">
        <v>45572.375</v>
      </c>
      <c r="U710" s="152">
        <v>45572.527777777781</v>
      </c>
      <c r="V710" s="219">
        <f t="shared" si="412"/>
        <v>0.20833333333575865</v>
      </c>
      <c r="W710" s="203">
        <v>0.20833333333333334</v>
      </c>
      <c r="X710" s="219">
        <f t="shared" si="413"/>
        <v>2.4253099528692701E-12</v>
      </c>
      <c r="Y710" s="96">
        <v>0</v>
      </c>
      <c r="Z710" s="96">
        <v>58</v>
      </c>
      <c r="AA710" s="96">
        <f t="shared" si="395"/>
        <v>58</v>
      </c>
      <c r="AB710" s="97">
        <f t="shared" si="396"/>
        <v>0</v>
      </c>
      <c r="AC710" s="97">
        <f t="shared" si="397"/>
        <v>4032.8499999999995</v>
      </c>
      <c r="AD710" s="98">
        <v>4032.85</v>
      </c>
      <c r="AE710" s="98">
        <v>4020.1</v>
      </c>
      <c r="AF710" s="98">
        <v>4051.6</v>
      </c>
      <c r="AG710" s="98">
        <f t="shared" si="398"/>
        <v>18.75</v>
      </c>
      <c r="AH710" s="99">
        <v>797.2</v>
      </c>
      <c r="AI710" s="100">
        <f t="shared" si="399"/>
        <v>3229935.52</v>
      </c>
      <c r="AJ710" s="100">
        <f t="shared" si="410"/>
        <v>0</v>
      </c>
      <c r="AK710" s="100">
        <v>0</v>
      </c>
      <c r="AL710" s="100">
        <v>48280</v>
      </c>
      <c r="AM710" s="100">
        <v>0</v>
      </c>
      <c r="AN710" s="100">
        <v>0</v>
      </c>
      <c r="AO710" s="100">
        <v>0</v>
      </c>
      <c r="AP710" s="100">
        <f t="shared" si="414"/>
        <v>163911</v>
      </c>
      <c r="AQ710" s="101">
        <f t="shared" si="404"/>
        <v>3442127</v>
      </c>
      <c r="AR710" s="101">
        <v>0</v>
      </c>
      <c r="AS710" s="101">
        <v>0</v>
      </c>
      <c r="AT710" s="102" t="s">
        <v>33</v>
      </c>
      <c r="AU710" s="109">
        <v>21</v>
      </c>
      <c r="AV710" s="100">
        <f>52.72-27.72</f>
        <v>25</v>
      </c>
      <c r="AW710" s="105">
        <v>0</v>
      </c>
      <c r="AX710" s="216">
        <f t="shared" si="415"/>
        <v>0.46278013624247211</v>
      </c>
      <c r="AY710" s="217">
        <f t="shared" si="416"/>
        <v>14948</v>
      </c>
      <c r="AZ710" s="107"/>
      <c r="BA710" s="94">
        <v>45572.125</v>
      </c>
      <c r="BB710" s="94">
        <v>45572.135416666664</v>
      </c>
      <c r="BC710" s="94">
        <v>45572.135416666664</v>
      </c>
      <c r="BD710" s="94">
        <v>45572.291666666664</v>
      </c>
      <c r="BE710" s="95">
        <f t="shared" si="417"/>
        <v>0.16666666666424135</v>
      </c>
      <c r="BF710" s="95">
        <v>4.8611111111111112E-3</v>
      </c>
      <c r="BG710" s="95">
        <v>3.9583333333333331E-2</v>
      </c>
      <c r="BH710" s="95">
        <f t="shared" si="418"/>
        <v>1.0416666664241347E-2</v>
      </c>
      <c r="BI710" s="95">
        <f t="shared" si="418"/>
        <v>0</v>
      </c>
      <c r="BJ710" s="95">
        <f t="shared" si="418"/>
        <v>0.15625</v>
      </c>
      <c r="BK710" s="95">
        <f t="shared" si="419"/>
        <v>0.15625</v>
      </c>
      <c r="BL710" s="95">
        <f t="shared" si="420"/>
        <v>0.11180555555555555</v>
      </c>
      <c r="BM710" s="95" t="str">
        <f t="shared" si="421"/>
        <v>00:00</v>
      </c>
      <c r="BN710" s="110"/>
    </row>
    <row r="711" spans="1:66" s="8" customFormat="1" ht="12.75" customHeight="1" x14ac:dyDescent="0.25">
      <c r="A711" s="150">
        <v>646</v>
      </c>
      <c r="B711" s="150">
        <v>19</v>
      </c>
      <c r="C711" s="90">
        <v>9</v>
      </c>
      <c r="D711" s="111" t="s">
        <v>148</v>
      </c>
      <c r="E711" s="210" t="s">
        <v>904</v>
      </c>
      <c r="F711" s="150" t="s">
        <v>16</v>
      </c>
      <c r="G711" s="150" t="s">
        <v>17</v>
      </c>
      <c r="H711" s="150" t="s">
        <v>150</v>
      </c>
      <c r="I711" s="150" t="s">
        <v>168</v>
      </c>
      <c r="J711" s="151">
        <v>45572</v>
      </c>
      <c r="K711" s="135" t="s">
        <v>122</v>
      </c>
      <c r="L711" s="135">
        <v>461000500</v>
      </c>
      <c r="M711" s="151">
        <v>45573</v>
      </c>
      <c r="N711" s="152">
        <v>45572.635416666664</v>
      </c>
      <c r="O711" s="152">
        <v>45572.635416666664</v>
      </c>
      <c r="P711" s="152">
        <v>45572.642361111109</v>
      </c>
      <c r="Q711" s="152">
        <v>45572.84375</v>
      </c>
      <c r="R711" s="152" t="s">
        <v>118</v>
      </c>
      <c r="S711" s="152" t="s">
        <v>118</v>
      </c>
      <c r="T711" s="152">
        <v>45572.854166666664</v>
      </c>
      <c r="U711" s="152">
        <v>45573.133333333331</v>
      </c>
      <c r="V711" s="219">
        <f t="shared" si="412"/>
        <v>0.20833333333575865</v>
      </c>
      <c r="W711" s="203">
        <v>0.20833333333333334</v>
      </c>
      <c r="X711" s="219">
        <f t="shared" si="413"/>
        <v>2.4253099528692701E-12</v>
      </c>
      <c r="Y711" s="96">
        <v>5</v>
      </c>
      <c r="Z711" s="96">
        <v>53</v>
      </c>
      <c r="AA711" s="96">
        <f t="shared" si="395"/>
        <v>58</v>
      </c>
      <c r="AB711" s="97">
        <f t="shared" si="396"/>
        <v>350.40431034482759</v>
      </c>
      <c r="AC711" s="97">
        <f t="shared" si="397"/>
        <v>3714.2856896551725</v>
      </c>
      <c r="AD711" s="98">
        <v>4064.69</v>
      </c>
      <c r="AE711" s="98">
        <v>4037.8</v>
      </c>
      <c r="AF711" s="98">
        <v>4083.4</v>
      </c>
      <c r="AG711" s="98">
        <f t="shared" si="398"/>
        <v>18.710000000000036</v>
      </c>
      <c r="AH711" s="99">
        <v>672.5</v>
      </c>
      <c r="AI711" s="100">
        <f t="shared" si="399"/>
        <v>2746086.5</v>
      </c>
      <c r="AJ711" s="100">
        <f t="shared" si="410"/>
        <v>0</v>
      </c>
      <c r="AK711" s="100">
        <v>0</v>
      </c>
      <c r="AL711" s="100">
        <v>48280</v>
      </c>
      <c r="AM711" s="100">
        <v>0</v>
      </c>
      <c r="AN711" s="100">
        <v>0</v>
      </c>
      <c r="AO711" s="100">
        <v>0</v>
      </c>
      <c r="AP711" s="100">
        <f t="shared" si="414"/>
        <v>139719</v>
      </c>
      <c r="AQ711" s="101">
        <f t="shared" si="404"/>
        <v>2934086</v>
      </c>
      <c r="AR711" s="101">
        <v>0</v>
      </c>
      <c r="AS711" s="101">
        <v>0</v>
      </c>
      <c r="AT711" s="102" t="s">
        <v>33</v>
      </c>
      <c r="AU711" s="109">
        <v>40</v>
      </c>
      <c r="AV711" s="100">
        <f>95.98-35.48</f>
        <v>60.500000000000007</v>
      </c>
      <c r="AW711" s="105">
        <v>0</v>
      </c>
      <c r="AX711" s="216">
        <f t="shared" si="415"/>
        <v>0.45819660087182335</v>
      </c>
      <c r="AY711" s="217">
        <f t="shared" si="416"/>
        <v>12583</v>
      </c>
      <c r="AZ711" s="107"/>
      <c r="BA711" s="94">
        <v>45572.635416666664</v>
      </c>
      <c r="BB711" s="94">
        <v>45572.642361111109</v>
      </c>
      <c r="BC711" s="94">
        <v>45572.642361111109</v>
      </c>
      <c r="BD711" s="94">
        <v>45572.8125</v>
      </c>
      <c r="BE711" s="95">
        <f t="shared" si="417"/>
        <v>0.17708333333575865</v>
      </c>
      <c r="BF711" s="95">
        <v>9.0277777777777769E-3</v>
      </c>
      <c r="BG711" s="95">
        <v>0</v>
      </c>
      <c r="BH711" s="95">
        <f t="shared" si="418"/>
        <v>6.9444444452528842E-3</v>
      </c>
      <c r="BI711" s="95">
        <f t="shared" si="418"/>
        <v>0</v>
      </c>
      <c r="BJ711" s="95">
        <f t="shared" si="418"/>
        <v>0.17013888889050577</v>
      </c>
      <c r="BK711" s="95">
        <f t="shared" si="419"/>
        <v>0.17013888889050577</v>
      </c>
      <c r="BL711" s="95">
        <f t="shared" si="420"/>
        <v>0.16111111111272799</v>
      </c>
      <c r="BM711" s="95" t="str">
        <f t="shared" si="421"/>
        <v>00:00</v>
      </c>
      <c r="BN711" s="110"/>
    </row>
    <row r="712" spans="1:66" s="8" customFormat="1" ht="12.75" customHeight="1" x14ac:dyDescent="0.25">
      <c r="A712" s="150">
        <v>647</v>
      </c>
      <c r="B712" s="150">
        <v>20</v>
      </c>
      <c r="C712" s="90">
        <v>10</v>
      </c>
      <c r="D712" s="111" t="s">
        <v>148</v>
      </c>
      <c r="E712" s="210" t="s">
        <v>904</v>
      </c>
      <c r="F712" s="150" t="s">
        <v>16</v>
      </c>
      <c r="G712" s="150" t="s">
        <v>17</v>
      </c>
      <c r="H712" s="150" t="s">
        <v>150</v>
      </c>
      <c r="I712" s="150" t="s">
        <v>170</v>
      </c>
      <c r="J712" s="151">
        <v>45572</v>
      </c>
      <c r="K712" s="135" t="s">
        <v>117</v>
      </c>
      <c r="L712" s="135">
        <v>461000501</v>
      </c>
      <c r="M712" s="151">
        <v>45573</v>
      </c>
      <c r="N712" s="152">
        <v>45572.840277777781</v>
      </c>
      <c r="O712" s="152">
        <v>45572.840277777781</v>
      </c>
      <c r="P712" s="152">
        <v>45572.84375</v>
      </c>
      <c r="Q712" s="152">
        <v>45572.993055555555</v>
      </c>
      <c r="R712" s="152" t="s">
        <v>118</v>
      </c>
      <c r="S712" s="152" t="s">
        <v>118</v>
      </c>
      <c r="T712" s="152">
        <v>45573.166666666664</v>
      </c>
      <c r="U712" s="152">
        <v>45573.29583333333</v>
      </c>
      <c r="V712" s="219">
        <f t="shared" si="412"/>
        <v>0.15277777777373558</v>
      </c>
      <c r="W712" s="203">
        <v>0.20833333333333334</v>
      </c>
      <c r="X712" s="219" t="str">
        <f t="shared" si="413"/>
        <v>00:00</v>
      </c>
      <c r="Y712" s="96">
        <v>23</v>
      </c>
      <c r="Z712" s="96">
        <v>35</v>
      </c>
      <c r="AA712" s="96">
        <f t="shared" si="395"/>
        <v>58</v>
      </c>
      <c r="AB712" s="97">
        <f t="shared" si="396"/>
        <v>1562.0331034482761</v>
      </c>
      <c r="AC712" s="97">
        <f t="shared" si="397"/>
        <v>2377.0068965517244</v>
      </c>
      <c r="AD712" s="98">
        <v>3939.04</v>
      </c>
      <c r="AE712" s="98">
        <v>4041.9</v>
      </c>
      <c r="AF712" s="98">
        <v>4052.8</v>
      </c>
      <c r="AG712" s="98">
        <f t="shared" si="398"/>
        <v>113.76000000000022</v>
      </c>
      <c r="AH712" s="99">
        <v>672.5</v>
      </c>
      <c r="AI712" s="100">
        <f t="shared" si="399"/>
        <v>2725508</v>
      </c>
      <c r="AJ712" s="100">
        <f t="shared" si="410"/>
        <v>0</v>
      </c>
      <c r="AK712" s="100">
        <v>0</v>
      </c>
      <c r="AL712" s="100">
        <v>24140</v>
      </c>
      <c r="AM712" s="100">
        <v>0</v>
      </c>
      <c r="AN712" s="100">
        <v>0</v>
      </c>
      <c r="AO712" s="100">
        <v>0</v>
      </c>
      <c r="AP712" s="100">
        <f t="shared" si="414"/>
        <v>137483</v>
      </c>
      <c r="AQ712" s="101">
        <f t="shared" si="404"/>
        <v>2887131</v>
      </c>
      <c r="AR712" s="101">
        <v>0</v>
      </c>
      <c r="AS712" s="101">
        <v>0</v>
      </c>
      <c r="AT712" s="102" t="s">
        <v>34</v>
      </c>
      <c r="AU712" s="109">
        <v>7</v>
      </c>
      <c r="AV712" s="100">
        <f>13.82-9.32</f>
        <v>4.5</v>
      </c>
      <c r="AW712" s="105">
        <v>0</v>
      </c>
      <c r="AX712" s="216">
        <f t="shared" si="415"/>
        <v>2.8069482826687775</v>
      </c>
      <c r="AY712" s="217">
        <f t="shared" si="416"/>
        <v>76504</v>
      </c>
      <c r="AZ712" s="107"/>
      <c r="BA712" s="94">
        <v>45572.815972222219</v>
      </c>
      <c r="BB712" s="94">
        <v>45572.819444444445</v>
      </c>
      <c r="BC712" s="94">
        <v>45572.819444444445</v>
      </c>
      <c r="BD712" s="94">
        <v>45572.922222222223</v>
      </c>
      <c r="BE712" s="95">
        <f t="shared" si="417"/>
        <v>0.10625000000436557</v>
      </c>
      <c r="BF712" s="95">
        <v>0</v>
      </c>
      <c r="BG712" s="95">
        <v>4.1666666666666666E-3</v>
      </c>
      <c r="BH712" s="95">
        <f t="shared" si="418"/>
        <v>3.4722222262644209E-3</v>
      </c>
      <c r="BI712" s="95">
        <f t="shared" si="418"/>
        <v>0</v>
      </c>
      <c r="BJ712" s="95">
        <f t="shared" si="418"/>
        <v>0.10277777777810115</v>
      </c>
      <c r="BK712" s="95">
        <f t="shared" si="419"/>
        <v>0.10277777777810115</v>
      </c>
      <c r="BL712" s="95">
        <f t="shared" si="420"/>
        <v>9.8611111111434488E-2</v>
      </c>
      <c r="BM712" s="95" t="str">
        <f t="shared" si="421"/>
        <v>00:00</v>
      </c>
      <c r="BN712" s="110"/>
    </row>
    <row r="713" spans="1:66" s="8" customFormat="1" ht="12.75" customHeight="1" x14ac:dyDescent="0.25">
      <c r="A713" s="150">
        <v>648</v>
      </c>
      <c r="B713" s="150">
        <v>21</v>
      </c>
      <c r="C713" s="90">
        <v>5</v>
      </c>
      <c r="D713" s="111" t="s">
        <v>113</v>
      </c>
      <c r="E713" s="210" t="s">
        <v>909</v>
      </c>
      <c r="F713" s="150" t="s">
        <v>32</v>
      </c>
      <c r="G713" s="150" t="s">
        <v>15</v>
      </c>
      <c r="H713" s="150" t="s">
        <v>805</v>
      </c>
      <c r="I713" s="150" t="s">
        <v>918</v>
      </c>
      <c r="J713" s="151">
        <v>45573</v>
      </c>
      <c r="K713" s="135" t="s">
        <v>122</v>
      </c>
      <c r="L713" s="135">
        <v>261006036</v>
      </c>
      <c r="M713" s="151">
        <v>45573</v>
      </c>
      <c r="N713" s="152">
        <v>45573.229166666664</v>
      </c>
      <c r="O713" s="152">
        <v>45573.229166666664</v>
      </c>
      <c r="P713" s="152">
        <v>45573.232638888891</v>
      </c>
      <c r="Q713" s="152">
        <v>45573.4375</v>
      </c>
      <c r="R713" s="152" t="s">
        <v>118</v>
      </c>
      <c r="S713" s="152" t="s">
        <v>118</v>
      </c>
      <c r="T713" s="152">
        <v>45573.479166666664</v>
      </c>
      <c r="U713" s="152">
        <v>45573.670138888891</v>
      </c>
      <c r="V713" s="219">
        <f t="shared" si="412"/>
        <v>0.20833333333575865</v>
      </c>
      <c r="W713" s="203">
        <v>0.20833333333333334</v>
      </c>
      <c r="X713" s="219">
        <f t="shared" si="413"/>
        <v>2.4253099528692701E-12</v>
      </c>
      <c r="Y713" s="96">
        <v>0</v>
      </c>
      <c r="Z713" s="96">
        <v>59</v>
      </c>
      <c r="AA713" s="96">
        <f t="shared" si="395"/>
        <v>59</v>
      </c>
      <c r="AB713" s="97">
        <f t="shared" si="396"/>
        <v>0</v>
      </c>
      <c r="AC713" s="97">
        <f t="shared" si="397"/>
        <v>4132.54</v>
      </c>
      <c r="AD713" s="98">
        <v>4132.54</v>
      </c>
      <c r="AE713" s="98">
        <v>4119.6000000000004</v>
      </c>
      <c r="AF713" s="98">
        <v>4159</v>
      </c>
      <c r="AG713" s="98">
        <f t="shared" si="398"/>
        <v>26.460000000000036</v>
      </c>
      <c r="AH713" s="99">
        <v>1435.6</v>
      </c>
      <c r="AI713" s="100">
        <f t="shared" si="399"/>
        <v>5970660.3999999994</v>
      </c>
      <c r="AJ713" s="100">
        <f t="shared" si="410"/>
        <v>0</v>
      </c>
      <c r="AK713" s="100">
        <v>0</v>
      </c>
      <c r="AL713" s="100">
        <v>48580</v>
      </c>
      <c r="AM713" s="100">
        <v>0</v>
      </c>
      <c r="AN713" s="100">
        <v>0</v>
      </c>
      <c r="AO713" s="100">
        <v>0</v>
      </c>
      <c r="AP713" s="100">
        <f t="shared" si="414"/>
        <v>300963</v>
      </c>
      <c r="AQ713" s="101">
        <f t="shared" si="404"/>
        <v>6320204</v>
      </c>
      <c r="AR713" s="101">
        <v>0</v>
      </c>
      <c r="AS713" s="101">
        <v>0</v>
      </c>
      <c r="AT713" s="102" t="s">
        <v>33</v>
      </c>
      <c r="AU713" s="109">
        <v>30</v>
      </c>
      <c r="AV713" s="100">
        <f>80.4-31.9</f>
        <v>48.500000000000007</v>
      </c>
      <c r="AW713" s="105">
        <v>0</v>
      </c>
      <c r="AX713" s="216">
        <f t="shared" si="415"/>
        <v>0.63621062755470148</v>
      </c>
      <c r="AY713" s="217">
        <f t="shared" si="416"/>
        <v>37986</v>
      </c>
      <c r="AZ713" s="107"/>
      <c r="BA713" s="94">
        <v>45573.229166666664</v>
      </c>
      <c r="BB713" s="94">
        <v>45573.232638888891</v>
      </c>
      <c r="BC713" s="94">
        <v>45573.232638888891</v>
      </c>
      <c r="BD713" s="94">
        <v>45573.440972222219</v>
      </c>
      <c r="BE713" s="95">
        <f t="shared" si="417"/>
        <v>0.21180555555474712</v>
      </c>
      <c r="BF713" s="95">
        <v>0</v>
      </c>
      <c r="BG713" s="95">
        <v>5.5555555555555552E-2</v>
      </c>
      <c r="BH713" s="95">
        <f t="shared" si="418"/>
        <v>3.4722222262644209E-3</v>
      </c>
      <c r="BI713" s="95">
        <f t="shared" si="418"/>
        <v>0</v>
      </c>
      <c r="BJ713" s="95">
        <f t="shared" si="418"/>
        <v>0.20833333332848269</v>
      </c>
      <c r="BK713" s="95">
        <f t="shared" si="419"/>
        <v>0.20833333332848269</v>
      </c>
      <c r="BL713" s="95">
        <f t="shared" si="420"/>
        <v>0.15277777777292714</v>
      </c>
      <c r="BM713" s="95">
        <f t="shared" si="421"/>
        <v>3.4722222214137732E-3</v>
      </c>
      <c r="BN713" s="110"/>
    </row>
    <row r="714" spans="1:66" s="8" customFormat="1" ht="12.75" customHeight="1" x14ac:dyDescent="0.25">
      <c r="A714" s="115">
        <v>649</v>
      </c>
      <c r="B714" s="115">
        <v>22</v>
      </c>
      <c r="C714" s="90">
        <v>12</v>
      </c>
      <c r="D714" s="115" t="s">
        <v>113</v>
      </c>
      <c r="E714" s="210" t="s">
        <v>771</v>
      </c>
      <c r="F714" s="150" t="s">
        <v>27</v>
      </c>
      <c r="G714" s="150" t="s">
        <v>12</v>
      </c>
      <c r="H714" s="115" t="s">
        <v>115</v>
      </c>
      <c r="I714" s="150" t="s">
        <v>141</v>
      </c>
      <c r="J714" s="117">
        <v>45573</v>
      </c>
      <c r="K714" s="116" t="s">
        <v>117</v>
      </c>
      <c r="L714" s="135">
        <v>282001032</v>
      </c>
      <c r="M714" s="151">
        <v>45574</v>
      </c>
      <c r="N714" s="118">
        <v>45573.517361111109</v>
      </c>
      <c r="O714" s="118">
        <v>45573.517361111109</v>
      </c>
      <c r="P714" s="118">
        <v>45573.520833333336</v>
      </c>
      <c r="Q714" s="118">
        <v>45573.708333333336</v>
      </c>
      <c r="R714" s="118" t="s">
        <v>118</v>
      </c>
      <c r="S714" s="118" t="s">
        <v>118</v>
      </c>
      <c r="T714" s="118">
        <v>45573.770833333336</v>
      </c>
      <c r="U714" s="118">
        <v>45573.845138888886</v>
      </c>
      <c r="V714" s="119">
        <f t="shared" si="412"/>
        <v>0.19097222222626442</v>
      </c>
      <c r="W714" s="185">
        <v>0.20833333333333334</v>
      </c>
      <c r="X714" s="119" t="str">
        <f t="shared" si="413"/>
        <v>00:00</v>
      </c>
      <c r="Y714" s="96">
        <v>0</v>
      </c>
      <c r="Z714" s="96">
        <v>20</v>
      </c>
      <c r="AA714" s="96">
        <f t="shared" si="395"/>
        <v>20</v>
      </c>
      <c r="AB714" s="97">
        <f t="shared" si="396"/>
        <v>0</v>
      </c>
      <c r="AC714" s="97">
        <f t="shared" si="397"/>
        <v>1364.98</v>
      </c>
      <c r="AD714" s="97">
        <f>4018.05-2653.07</f>
        <v>1364.98</v>
      </c>
      <c r="AE714" s="98">
        <v>1386.2</v>
      </c>
      <c r="AF714" s="98">
        <v>1387</v>
      </c>
      <c r="AG714" s="98">
        <f t="shared" si="398"/>
        <v>22.019999999999982</v>
      </c>
      <c r="AH714" s="99">
        <v>1586.7</v>
      </c>
      <c r="AI714" s="100">
        <f t="shared" si="399"/>
        <v>2200752.9</v>
      </c>
      <c r="AJ714" s="100">
        <f t="shared" si="410"/>
        <v>0</v>
      </c>
      <c r="AK714" s="100">
        <v>0</v>
      </c>
      <c r="AL714" s="100">
        <v>0</v>
      </c>
      <c r="AM714" s="100">
        <v>0</v>
      </c>
      <c r="AN714" s="100">
        <v>0</v>
      </c>
      <c r="AO714" s="100">
        <f>IFERROR(AF714*20+(((AJ714/AH714)/2)*20),0)</f>
        <v>27740</v>
      </c>
      <c r="AP714" s="100">
        <f t="shared" si="414"/>
        <v>111425</v>
      </c>
      <c r="AQ714" s="101">
        <f t="shared" si="404"/>
        <v>2339918</v>
      </c>
      <c r="AR714" s="101">
        <v>0</v>
      </c>
      <c r="AS714" s="101">
        <v>0</v>
      </c>
      <c r="AT714" s="238" t="s">
        <v>33</v>
      </c>
      <c r="AU714" s="121" t="s">
        <v>118</v>
      </c>
      <c r="AV714" s="121">
        <v>0</v>
      </c>
      <c r="AW714" s="105">
        <v>0</v>
      </c>
      <c r="AX714" s="140">
        <f>IFERROR(((AG714+AG715)/(AF714+AF715))*100, "")</f>
        <v>1.7639724218864516</v>
      </c>
      <c r="AY714" s="141">
        <f>ROUNDUP((AG714+AG715)*AH714,0)</f>
        <v>114481</v>
      </c>
      <c r="AZ714" s="107"/>
      <c r="BA714" s="118">
        <v>45573.517361111109</v>
      </c>
      <c r="BB714" s="118">
        <v>45573.520833333336</v>
      </c>
      <c r="BC714" s="118">
        <v>45573.538194444445</v>
      </c>
      <c r="BD714" s="118">
        <v>45573.679861111108</v>
      </c>
      <c r="BE714" s="119">
        <f t="shared" si="417"/>
        <v>0.16249999999854481</v>
      </c>
      <c r="BF714" s="119">
        <v>1.7361111111111112E-2</v>
      </c>
      <c r="BG714" s="119">
        <v>1.8055555555555554E-2</v>
      </c>
      <c r="BH714" s="119">
        <f t="shared" si="418"/>
        <v>3.4722222262644209E-3</v>
      </c>
      <c r="BI714" s="119">
        <f t="shared" si="418"/>
        <v>1.7361111109494232E-2</v>
      </c>
      <c r="BJ714" s="119">
        <f t="shared" si="418"/>
        <v>0.14166666666278616</v>
      </c>
      <c r="BK714" s="119">
        <f t="shared" si="419"/>
        <v>0.15902777777228039</v>
      </c>
      <c r="BL714" s="119">
        <f t="shared" si="420"/>
        <v>0.12361111110561374</v>
      </c>
      <c r="BM714" s="119" t="str">
        <f t="shared" si="421"/>
        <v>00:00</v>
      </c>
      <c r="BN714" s="110"/>
    </row>
    <row r="715" spans="1:66" s="8" customFormat="1" ht="12.75" customHeight="1" x14ac:dyDescent="0.25">
      <c r="A715" s="122"/>
      <c r="B715" s="122"/>
      <c r="C715" s="90">
        <v>3</v>
      </c>
      <c r="D715" s="122"/>
      <c r="E715" s="210" t="s">
        <v>849</v>
      </c>
      <c r="F715" s="150" t="s">
        <v>41</v>
      </c>
      <c r="G715" s="150" t="s">
        <v>12</v>
      </c>
      <c r="H715" s="122"/>
      <c r="I715" s="150" t="s">
        <v>919</v>
      </c>
      <c r="J715" s="124"/>
      <c r="K715" s="123"/>
      <c r="L715" s="135">
        <v>282001033</v>
      </c>
      <c r="M715" s="151">
        <v>45574</v>
      </c>
      <c r="N715" s="125"/>
      <c r="O715" s="125"/>
      <c r="P715" s="125"/>
      <c r="Q715" s="125"/>
      <c r="R715" s="125"/>
      <c r="S715" s="125"/>
      <c r="T715" s="125"/>
      <c r="U715" s="125"/>
      <c r="V715" s="126"/>
      <c r="W715" s="189"/>
      <c r="X715" s="126"/>
      <c r="Y715" s="96">
        <v>1</v>
      </c>
      <c r="Z715" s="96">
        <v>38</v>
      </c>
      <c r="AA715" s="96">
        <f t="shared" si="395"/>
        <v>39</v>
      </c>
      <c r="AB715" s="97">
        <f t="shared" si="396"/>
        <v>68.027435897435907</v>
      </c>
      <c r="AC715" s="97">
        <f t="shared" si="397"/>
        <v>2585.0425641025645</v>
      </c>
      <c r="AD715" s="98">
        <v>2653.07</v>
      </c>
      <c r="AE715" s="98">
        <v>2702.2</v>
      </c>
      <c r="AF715" s="98">
        <v>2703.2</v>
      </c>
      <c r="AG715" s="98">
        <f t="shared" si="398"/>
        <v>50.129999999999654</v>
      </c>
      <c r="AH715" s="99">
        <v>1586.7</v>
      </c>
      <c r="AI715" s="100">
        <f t="shared" si="399"/>
        <v>4289167.4399999995</v>
      </c>
      <c r="AJ715" s="100">
        <f t="shared" si="410"/>
        <v>0</v>
      </c>
      <c r="AK715" s="100">
        <v>0</v>
      </c>
      <c r="AL715" s="100">
        <v>0</v>
      </c>
      <c r="AM715" s="100">
        <v>0</v>
      </c>
      <c r="AN715" s="100">
        <v>0</v>
      </c>
      <c r="AO715" s="100">
        <f>IFERROR(AF715*20+(((AJ715/AH715)/2)*20),0)</f>
        <v>54064</v>
      </c>
      <c r="AP715" s="100">
        <f t="shared" si="414"/>
        <v>217162</v>
      </c>
      <c r="AQ715" s="101">
        <f t="shared" si="404"/>
        <v>4560394</v>
      </c>
      <c r="AR715" s="101">
        <v>0</v>
      </c>
      <c r="AS715" s="101">
        <v>0</v>
      </c>
      <c r="AT715" s="240"/>
      <c r="AU715" s="128"/>
      <c r="AV715" s="128"/>
      <c r="AW715" s="105">
        <v>0</v>
      </c>
      <c r="AX715" s="144"/>
      <c r="AY715" s="145"/>
      <c r="AZ715" s="107"/>
      <c r="BA715" s="125"/>
      <c r="BB715" s="125"/>
      <c r="BC715" s="125"/>
      <c r="BD715" s="125"/>
      <c r="BE715" s="126"/>
      <c r="BF715" s="126"/>
      <c r="BG715" s="126"/>
      <c r="BH715" s="126"/>
      <c r="BI715" s="126"/>
      <c r="BJ715" s="126"/>
      <c r="BK715" s="126"/>
      <c r="BL715" s="126"/>
      <c r="BM715" s="126"/>
      <c r="BN715" s="110"/>
    </row>
    <row r="716" spans="1:66" s="8" customFormat="1" ht="12.75" customHeight="1" x14ac:dyDescent="0.25">
      <c r="A716" s="150">
        <v>650</v>
      </c>
      <c r="B716" s="150">
        <v>23</v>
      </c>
      <c r="C716" s="90">
        <v>11</v>
      </c>
      <c r="D716" s="111" t="s">
        <v>148</v>
      </c>
      <c r="E716" s="210" t="s">
        <v>904</v>
      </c>
      <c r="F716" s="150" t="s">
        <v>16</v>
      </c>
      <c r="G716" s="150" t="s">
        <v>17</v>
      </c>
      <c r="H716" s="150" t="s">
        <v>150</v>
      </c>
      <c r="I716" s="150" t="s">
        <v>172</v>
      </c>
      <c r="J716" s="151">
        <v>45573</v>
      </c>
      <c r="K716" s="135" t="s">
        <v>122</v>
      </c>
      <c r="L716" s="135">
        <v>461000502</v>
      </c>
      <c r="M716" s="151">
        <v>45574</v>
      </c>
      <c r="N716" s="152">
        <v>45573.770833333336</v>
      </c>
      <c r="O716" s="152">
        <v>45573.770833333336</v>
      </c>
      <c r="P716" s="152">
        <v>45573.777777777781</v>
      </c>
      <c r="Q716" s="152">
        <v>45573.9375</v>
      </c>
      <c r="R716" s="152" t="s">
        <v>118</v>
      </c>
      <c r="S716" s="152" t="s">
        <v>118</v>
      </c>
      <c r="T716" s="152">
        <v>45574.020833333336</v>
      </c>
      <c r="U716" s="152">
        <v>45574.111111111109</v>
      </c>
      <c r="V716" s="219">
        <f t="shared" ref="V716:V730" si="422">+Q716-O716</f>
        <v>0.16666666666424135</v>
      </c>
      <c r="W716" s="203">
        <v>0.20833333333333334</v>
      </c>
      <c r="X716" s="219" t="str">
        <f t="shared" ref="X716:X730" si="423">IF(VALUE(V716)&lt;=VALUE("05:00"),"00:00",VALUE(V716)-VALUE("05:00"))</f>
        <v>00:00</v>
      </c>
      <c r="Y716" s="96">
        <v>22</v>
      </c>
      <c r="Z716" s="96">
        <v>36</v>
      </c>
      <c r="AA716" s="96">
        <f t="shared" si="395"/>
        <v>58</v>
      </c>
      <c r="AB716" s="97">
        <f t="shared" si="396"/>
        <v>1532.4593103448276</v>
      </c>
      <c r="AC716" s="97">
        <f t="shared" si="397"/>
        <v>2507.6606896551725</v>
      </c>
      <c r="AD716" s="97">
        <v>4040.12</v>
      </c>
      <c r="AE716" s="98">
        <v>4046.2</v>
      </c>
      <c r="AF716" s="98">
        <v>4075.4</v>
      </c>
      <c r="AG716" s="98">
        <f t="shared" si="398"/>
        <v>35.2800000000002</v>
      </c>
      <c r="AH716" s="99">
        <v>672.5</v>
      </c>
      <c r="AI716" s="100">
        <f t="shared" si="399"/>
        <v>2740706.5</v>
      </c>
      <c r="AJ716" s="100">
        <f t="shared" si="410"/>
        <v>0</v>
      </c>
      <c r="AK716" s="100">
        <v>0</v>
      </c>
      <c r="AL716" s="100">
        <v>24140</v>
      </c>
      <c r="AM716" s="100">
        <v>0</v>
      </c>
      <c r="AN716" s="100">
        <v>0</v>
      </c>
      <c r="AO716" s="100">
        <v>0</v>
      </c>
      <c r="AP716" s="100">
        <f t="shared" si="414"/>
        <v>138243</v>
      </c>
      <c r="AQ716" s="101">
        <f t="shared" si="404"/>
        <v>2903090</v>
      </c>
      <c r="AR716" s="101">
        <v>0</v>
      </c>
      <c r="AS716" s="101">
        <v>0</v>
      </c>
      <c r="AT716" s="102" t="s">
        <v>33</v>
      </c>
      <c r="AU716" s="109">
        <v>16</v>
      </c>
      <c r="AV716" s="100">
        <f>48.81-26.31</f>
        <v>22.500000000000004</v>
      </c>
      <c r="AW716" s="105">
        <v>0</v>
      </c>
      <c r="AX716" s="216">
        <f t="shared" ref="AX716:AX729" si="424">IFERROR((AG716/AF716)*100, "")</f>
        <v>0.86568189625558722</v>
      </c>
      <c r="AY716" s="217">
        <f t="shared" ref="AY716:AY729" si="425">ROUNDUP(AG716*AH716,0)</f>
        <v>23726</v>
      </c>
      <c r="AZ716" s="107"/>
      <c r="BA716" s="94">
        <v>45573.770833333336</v>
      </c>
      <c r="BB716" s="94">
        <v>45573.777777777781</v>
      </c>
      <c r="BC716" s="94">
        <v>45573.78125</v>
      </c>
      <c r="BD716" s="94">
        <v>45573.911111111112</v>
      </c>
      <c r="BE716" s="95">
        <f t="shared" ref="BE716:BE730" si="426">+BD716-BA716</f>
        <v>0.14027777777664596</v>
      </c>
      <c r="BF716" s="95">
        <v>1.6666666666666666E-2</v>
      </c>
      <c r="BG716" s="95">
        <v>5.5555555555555558E-3</v>
      </c>
      <c r="BH716" s="95">
        <f t="shared" ref="BH716:BJ730" si="427">+BB716-BA716</f>
        <v>6.9444444452528842E-3</v>
      </c>
      <c r="BI716" s="95">
        <f t="shared" si="427"/>
        <v>3.4722222189884633E-3</v>
      </c>
      <c r="BJ716" s="95">
        <f t="shared" si="427"/>
        <v>0.12986111111240461</v>
      </c>
      <c r="BK716" s="95">
        <f t="shared" ref="BK716:BK730" si="428">+BI716+BJ716</f>
        <v>0.13333333333139308</v>
      </c>
      <c r="BL716" s="95">
        <f t="shared" ref="BL716:BL730" si="429">+BE716-BH716-BF716-BG716</f>
        <v>0.11111111110917087</v>
      </c>
      <c r="BM716" s="95" t="str">
        <f t="shared" ref="BM716:BM730" si="430">IF(VALUE(BE716)&lt;=VALUE("05:00"),"00:00",VALUE(BE716)-VALUE("05:00"))</f>
        <v>00:00</v>
      </c>
      <c r="BN716" s="110"/>
    </row>
    <row r="717" spans="1:66" s="8" customFormat="1" ht="12.75" customHeight="1" x14ac:dyDescent="0.25">
      <c r="A717" s="150">
        <v>651</v>
      </c>
      <c r="B717" s="150">
        <v>24</v>
      </c>
      <c r="C717" s="90">
        <v>4</v>
      </c>
      <c r="D717" s="111" t="s">
        <v>113</v>
      </c>
      <c r="E717" s="210" t="s">
        <v>849</v>
      </c>
      <c r="F717" s="150" t="s">
        <v>41</v>
      </c>
      <c r="G717" s="150" t="s">
        <v>12</v>
      </c>
      <c r="H717" s="150" t="s">
        <v>115</v>
      </c>
      <c r="I717" s="150" t="s">
        <v>142</v>
      </c>
      <c r="J717" s="151">
        <v>45573</v>
      </c>
      <c r="K717" s="135" t="s">
        <v>117</v>
      </c>
      <c r="L717" s="135">
        <v>282001034</v>
      </c>
      <c r="M717" s="151">
        <v>45574</v>
      </c>
      <c r="N717" s="152">
        <v>45573.975694444445</v>
      </c>
      <c r="O717" s="152">
        <v>45573.975694444445</v>
      </c>
      <c r="P717" s="152">
        <v>45574</v>
      </c>
      <c r="Q717" s="152">
        <v>45574.166666666664</v>
      </c>
      <c r="R717" s="152" t="s">
        <v>118</v>
      </c>
      <c r="S717" s="152" t="s">
        <v>118</v>
      </c>
      <c r="T717" s="152">
        <v>45574.229166666664</v>
      </c>
      <c r="U717" s="152">
        <v>45574.361111111109</v>
      </c>
      <c r="V717" s="219">
        <f t="shared" si="422"/>
        <v>0.19097222221898846</v>
      </c>
      <c r="W717" s="203">
        <v>0.20833333333333334</v>
      </c>
      <c r="X717" s="219" t="str">
        <f t="shared" si="423"/>
        <v>00:00</v>
      </c>
      <c r="Y717" s="96">
        <v>0</v>
      </c>
      <c r="Z717" s="96">
        <v>59</v>
      </c>
      <c r="AA717" s="96">
        <f t="shared" si="395"/>
        <v>59</v>
      </c>
      <c r="AB717" s="97">
        <f t="shared" si="396"/>
        <v>0</v>
      </c>
      <c r="AC717" s="97">
        <f t="shared" si="397"/>
        <v>4029.7599999999998</v>
      </c>
      <c r="AD717" s="98">
        <v>4029.76</v>
      </c>
      <c r="AE717" s="98">
        <v>4099.3</v>
      </c>
      <c r="AF717" s="98">
        <v>4106.8</v>
      </c>
      <c r="AG717" s="98">
        <f t="shared" si="398"/>
        <v>77.039999999999964</v>
      </c>
      <c r="AH717" s="99">
        <v>1586.7</v>
      </c>
      <c r="AI717" s="100">
        <f t="shared" si="399"/>
        <v>6516259.5600000005</v>
      </c>
      <c r="AJ717" s="100">
        <f t="shared" si="410"/>
        <v>0</v>
      </c>
      <c r="AK717" s="100">
        <v>0</v>
      </c>
      <c r="AL717" s="100">
        <v>24290</v>
      </c>
      <c r="AM717" s="100">
        <v>0</v>
      </c>
      <c r="AN717" s="100">
        <v>0</v>
      </c>
      <c r="AO717" s="100">
        <f>IFERROR(AF717*20+(((AJ717/AH717)/2)*20),0)</f>
        <v>82136</v>
      </c>
      <c r="AP717" s="100">
        <f t="shared" si="414"/>
        <v>331135</v>
      </c>
      <c r="AQ717" s="101">
        <f t="shared" si="404"/>
        <v>6953821</v>
      </c>
      <c r="AR717" s="101">
        <v>0</v>
      </c>
      <c r="AS717" s="101">
        <v>0</v>
      </c>
      <c r="AT717" s="102" t="s">
        <v>33</v>
      </c>
      <c r="AU717" s="109">
        <v>2</v>
      </c>
      <c r="AV717" s="100">
        <f>10.36-6.86</f>
        <v>3.4999999999999991</v>
      </c>
      <c r="AW717" s="105">
        <v>0</v>
      </c>
      <c r="AX717" s="216">
        <f t="shared" si="424"/>
        <v>1.8759131197039047</v>
      </c>
      <c r="AY717" s="217">
        <f t="shared" si="425"/>
        <v>122240</v>
      </c>
      <c r="AZ717" s="107"/>
      <c r="BA717" s="94">
        <v>45573.975694444445</v>
      </c>
      <c r="BB717" s="94">
        <v>45574</v>
      </c>
      <c r="BC717" s="94">
        <v>45574</v>
      </c>
      <c r="BD717" s="94">
        <v>45574.145833333336</v>
      </c>
      <c r="BE717" s="95">
        <f t="shared" si="426"/>
        <v>0.17013888889050577</v>
      </c>
      <c r="BF717" s="95">
        <v>0</v>
      </c>
      <c r="BG717" s="95">
        <v>2.2222222222222223E-2</v>
      </c>
      <c r="BH717" s="95">
        <f t="shared" si="427"/>
        <v>2.4305555554747116E-2</v>
      </c>
      <c r="BI717" s="95">
        <f t="shared" si="427"/>
        <v>0</v>
      </c>
      <c r="BJ717" s="95">
        <f t="shared" si="427"/>
        <v>0.14583333333575865</v>
      </c>
      <c r="BK717" s="95">
        <f t="shared" si="428"/>
        <v>0.14583333333575865</v>
      </c>
      <c r="BL717" s="95">
        <f t="shared" si="429"/>
        <v>0.12361111111353643</v>
      </c>
      <c r="BM717" s="95" t="str">
        <f t="shared" si="430"/>
        <v>00:00</v>
      </c>
      <c r="BN717" s="110"/>
    </row>
    <row r="718" spans="1:66" s="8" customFormat="1" ht="12.75" customHeight="1" x14ac:dyDescent="0.25">
      <c r="A718" s="150">
        <v>652</v>
      </c>
      <c r="B718" s="150">
        <v>25</v>
      </c>
      <c r="C718" s="90">
        <v>12</v>
      </c>
      <c r="D718" s="111" t="s">
        <v>148</v>
      </c>
      <c r="E718" s="210" t="s">
        <v>904</v>
      </c>
      <c r="F718" s="150" t="s">
        <v>16</v>
      </c>
      <c r="G718" s="150" t="s">
        <v>17</v>
      </c>
      <c r="H718" s="150" t="s">
        <v>150</v>
      </c>
      <c r="I718" s="150" t="s">
        <v>175</v>
      </c>
      <c r="J718" s="151">
        <v>45573</v>
      </c>
      <c r="K718" s="135" t="s">
        <v>122</v>
      </c>
      <c r="L718" s="135">
        <v>461000503</v>
      </c>
      <c r="M718" s="151">
        <v>45574</v>
      </c>
      <c r="N718" s="152">
        <v>45574.166666666664</v>
      </c>
      <c r="O718" s="152">
        <v>45574.166666666664</v>
      </c>
      <c r="P718" s="152">
        <v>45574.177083333336</v>
      </c>
      <c r="Q718" s="152">
        <v>45574.354166666664</v>
      </c>
      <c r="R718" s="152" t="s">
        <v>118</v>
      </c>
      <c r="S718" s="152" t="s">
        <v>118</v>
      </c>
      <c r="T718" s="152">
        <v>45574.395833333336</v>
      </c>
      <c r="U718" s="152">
        <v>45574.493055555555</v>
      </c>
      <c r="V718" s="219">
        <f t="shared" si="422"/>
        <v>0.1875</v>
      </c>
      <c r="W718" s="203">
        <v>0.20833333333333334</v>
      </c>
      <c r="X718" s="219" t="str">
        <f t="shared" si="423"/>
        <v>00:00</v>
      </c>
      <c r="Y718" s="96">
        <v>22</v>
      </c>
      <c r="Z718" s="96">
        <v>36</v>
      </c>
      <c r="AA718" s="96">
        <f t="shared" si="395"/>
        <v>58</v>
      </c>
      <c r="AB718" s="97">
        <f t="shared" si="396"/>
        <v>1452.8496551724138</v>
      </c>
      <c r="AC718" s="97">
        <f t="shared" si="397"/>
        <v>2377.3903448275864</v>
      </c>
      <c r="AD718" s="98">
        <v>3830.24</v>
      </c>
      <c r="AE718" s="98">
        <v>4030</v>
      </c>
      <c r="AF718" s="98">
        <v>4032.6</v>
      </c>
      <c r="AG718" s="98">
        <f t="shared" si="398"/>
        <v>202.36000000000013</v>
      </c>
      <c r="AH718" s="99">
        <v>672.5</v>
      </c>
      <c r="AI718" s="100">
        <f t="shared" si="399"/>
        <v>2711923.5</v>
      </c>
      <c r="AJ718" s="100">
        <f t="shared" si="410"/>
        <v>0</v>
      </c>
      <c r="AK718" s="100">
        <v>0</v>
      </c>
      <c r="AL718" s="100">
        <v>24140</v>
      </c>
      <c r="AM718" s="100">
        <v>0</v>
      </c>
      <c r="AN718" s="100">
        <v>0</v>
      </c>
      <c r="AO718" s="100">
        <v>0</v>
      </c>
      <c r="AP718" s="100">
        <f t="shared" si="414"/>
        <v>136804</v>
      </c>
      <c r="AQ718" s="101">
        <f t="shared" si="404"/>
        <v>2872868</v>
      </c>
      <c r="AR718" s="101">
        <v>0</v>
      </c>
      <c r="AS718" s="101">
        <v>0</v>
      </c>
      <c r="AT718" s="102" t="s">
        <v>33</v>
      </c>
      <c r="AU718" s="109">
        <v>1</v>
      </c>
      <c r="AV718" s="100">
        <f>3.2-2.2</f>
        <v>1</v>
      </c>
      <c r="AW718" s="105">
        <v>0</v>
      </c>
      <c r="AX718" s="216">
        <f t="shared" si="424"/>
        <v>5.0181024649109789</v>
      </c>
      <c r="AY718" s="217">
        <f t="shared" si="425"/>
        <v>136088</v>
      </c>
      <c r="AZ718" s="107"/>
      <c r="BA718" s="94">
        <v>45574.166666666664</v>
      </c>
      <c r="BB718" s="94">
        <v>45574.177083333336</v>
      </c>
      <c r="BC718" s="94">
        <v>45574.177083333336</v>
      </c>
      <c r="BD718" s="94">
        <v>45574.291666666664</v>
      </c>
      <c r="BE718" s="95">
        <f t="shared" si="426"/>
        <v>0.125</v>
      </c>
      <c r="BF718" s="95">
        <v>2.0833333333333332E-2</v>
      </c>
      <c r="BG718" s="95">
        <v>0</v>
      </c>
      <c r="BH718" s="95">
        <f t="shared" si="427"/>
        <v>1.0416666671517305E-2</v>
      </c>
      <c r="BI718" s="95">
        <f t="shared" si="427"/>
        <v>0</v>
      </c>
      <c r="BJ718" s="95">
        <f t="shared" si="427"/>
        <v>0.11458333332848269</v>
      </c>
      <c r="BK718" s="95">
        <f t="shared" si="428"/>
        <v>0.11458333332848269</v>
      </c>
      <c r="BL718" s="95">
        <f t="shared" si="429"/>
        <v>9.3749999995149366E-2</v>
      </c>
      <c r="BM718" s="95" t="str">
        <f t="shared" si="430"/>
        <v>00:00</v>
      </c>
      <c r="BN718" s="110"/>
    </row>
    <row r="719" spans="1:66" s="8" customFormat="1" ht="12.75" customHeight="1" x14ac:dyDescent="0.25">
      <c r="A719" s="150">
        <v>653</v>
      </c>
      <c r="B719" s="150">
        <v>26</v>
      </c>
      <c r="C719" s="90">
        <v>13</v>
      </c>
      <c r="D719" s="111" t="s">
        <v>148</v>
      </c>
      <c r="E719" s="210" t="s">
        <v>904</v>
      </c>
      <c r="F719" s="150" t="s">
        <v>16</v>
      </c>
      <c r="G719" s="150" t="s">
        <v>17</v>
      </c>
      <c r="H719" s="150" t="s">
        <v>150</v>
      </c>
      <c r="I719" s="150" t="s">
        <v>177</v>
      </c>
      <c r="J719" s="151">
        <v>45574</v>
      </c>
      <c r="K719" s="135" t="s">
        <v>117</v>
      </c>
      <c r="L719" s="135">
        <v>461000504</v>
      </c>
      <c r="M719" s="151">
        <v>45574</v>
      </c>
      <c r="N719" s="152">
        <v>45574.4375</v>
      </c>
      <c r="O719" s="152">
        <v>45574.4375</v>
      </c>
      <c r="P719" s="152">
        <v>45574.444444444445</v>
      </c>
      <c r="Q719" s="152">
        <v>45574.635416666664</v>
      </c>
      <c r="R719" s="152" t="s">
        <v>118</v>
      </c>
      <c r="S719" s="152" t="s">
        <v>118</v>
      </c>
      <c r="T719" s="152">
        <v>45574.677083333336</v>
      </c>
      <c r="U719" s="152">
        <v>45574.90902777778</v>
      </c>
      <c r="V719" s="219">
        <f t="shared" si="422"/>
        <v>0.19791666666424135</v>
      </c>
      <c r="W719" s="203">
        <v>0.20833333333333334</v>
      </c>
      <c r="X719" s="219" t="str">
        <f t="shared" si="423"/>
        <v>00:00</v>
      </c>
      <c r="Y719" s="96">
        <v>23</v>
      </c>
      <c r="Z719" s="96">
        <v>36</v>
      </c>
      <c r="AA719" s="96">
        <f t="shared" si="395"/>
        <v>59</v>
      </c>
      <c r="AB719" s="97">
        <f t="shared" si="396"/>
        <v>1576.9735593220339</v>
      </c>
      <c r="AC719" s="97">
        <f t="shared" si="397"/>
        <v>2468.3064406779663</v>
      </c>
      <c r="AD719" s="98">
        <v>4045.28</v>
      </c>
      <c r="AE719" s="98">
        <v>4087.2</v>
      </c>
      <c r="AF719" s="98">
        <v>4102.2</v>
      </c>
      <c r="AG719" s="98">
        <f t="shared" si="398"/>
        <v>56.919999999999618</v>
      </c>
      <c r="AH719" s="99">
        <v>672.5</v>
      </c>
      <c r="AI719" s="100">
        <f t="shared" si="399"/>
        <v>2758729.5</v>
      </c>
      <c r="AJ719" s="100">
        <f t="shared" si="410"/>
        <v>0</v>
      </c>
      <c r="AK719" s="100">
        <v>0</v>
      </c>
      <c r="AL719" s="100">
        <v>24290</v>
      </c>
      <c r="AM719" s="100">
        <v>0</v>
      </c>
      <c r="AN719" s="100">
        <v>0</v>
      </c>
      <c r="AO719" s="100">
        <v>0</v>
      </c>
      <c r="AP719" s="100">
        <f t="shared" si="414"/>
        <v>139151</v>
      </c>
      <c r="AQ719" s="101">
        <f t="shared" si="404"/>
        <v>2922171</v>
      </c>
      <c r="AR719" s="101">
        <v>0</v>
      </c>
      <c r="AS719" s="101">
        <v>0</v>
      </c>
      <c r="AT719" s="102" t="s">
        <v>33</v>
      </c>
      <c r="AU719" s="109">
        <v>7</v>
      </c>
      <c r="AV719" s="100">
        <f>17.86-12.36</f>
        <v>5.5</v>
      </c>
      <c r="AW719" s="105">
        <v>0</v>
      </c>
      <c r="AX719" s="216">
        <f t="shared" si="424"/>
        <v>1.3875481448978504</v>
      </c>
      <c r="AY719" s="217">
        <f t="shared" si="425"/>
        <v>38279</v>
      </c>
      <c r="AZ719" s="107"/>
      <c r="BA719" s="94">
        <v>45574.4375</v>
      </c>
      <c r="BB719" s="94">
        <v>45574.444444444445</v>
      </c>
      <c r="BC719" s="94">
        <v>45574.454861111109</v>
      </c>
      <c r="BD719" s="94">
        <v>45574.568055555559</v>
      </c>
      <c r="BE719" s="95">
        <f t="shared" si="426"/>
        <v>0.13055555555911269</v>
      </c>
      <c r="BF719" s="95">
        <v>1.0416666666666666E-2</v>
      </c>
      <c r="BG719" s="95">
        <v>1.3888888888888889E-3</v>
      </c>
      <c r="BH719" s="95">
        <f t="shared" si="427"/>
        <v>6.9444444452528842E-3</v>
      </c>
      <c r="BI719" s="95">
        <f t="shared" si="427"/>
        <v>1.0416666664241347E-2</v>
      </c>
      <c r="BJ719" s="95">
        <f t="shared" si="427"/>
        <v>0.11319444444961846</v>
      </c>
      <c r="BK719" s="95">
        <f t="shared" si="428"/>
        <v>0.12361111111385981</v>
      </c>
      <c r="BL719" s="95">
        <f t="shared" si="429"/>
        <v>0.11180555555830425</v>
      </c>
      <c r="BM719" s="95" t="str">
        <f t="shared" si="430"/>
        <v>00:00</v>
      </c>
      <c r="BN719" s="110"/>
    </row>
    <row r="720" spans="1:66" s="8" customFormat="1" ht="12.75" customHeight="1" x14ac:dyDescent="0.25">
      <c r="A720" s="150">
        <v>654</v>
      </c>
      <c r="B720" s="150">
        <v>27</v>
      </c>
      <c r="C720" s="90">
        <v>14</v>
      </c>
      <c r="D720" s="111" t="s">
        <v>148</v>
      </c>
      <c r="E720" s="210" t="s">
        <v>904</v>
      </c>
      <c r="F720" s="150" t="s">
        <v>16</v>
      </c>
      <c r="G720" s="150" t="s">
        <v>17</v>
      </c>
      <c r="H720" s="150" t="s">
        <v>150</v>
      </c>
      <c r="I720" s="150" t="s">
        <v>187</v>
      </c>
      <c r="J720" s="151">
        <v>45574</v>
      </c>
      <c r="K720" s="135" t="s">
        <v>122</v>
      </c>
      <c r="L720" s="135">
        <v>461000505</v>
      </c>
      <c r="M720" s="151">
        <v>45575</v>
      </c>
      <c r="N720" s="152">
        <v>45574.802083333336</v>
      </c>
      <c r="O720" s="152">
        <v>45574.802083333336</v>
      </c>
      <c r="P720" s="152">
        <v>45574.8125</v>
      </c>
      <c r="Q720" s="152">
        <v>45574.96875</v>
      </c>
      <c r="R720" s="152" t="s">
        <v>118</v>
      </c>
      <c r="S720" s="152" t="s">
        <v>118</v>
      </c>
      <c r="T720" s="152">
        <v>45575.0625</v>
      </c>
      <c r="U720" s="152">
        <v>45575.206944444442</v>
      </c>
      <c r="V720" s="219">
        <f t="shared" si="422"/>
        <v>0.16666666666424135</v>
      </c>
      <c r="W720" s="203">
        <v>0.20833333333333334</v>
      </c>
      <c r="X720" s="219" t="str">
        <f t="shared" si="423"/>
        <v>00:00</v>
      </c>
      <c r="Y720" s="96">
        <v>21</v>
      </c>
      <c r="Z720" s="96">
        <v>37</v>
      </c>
      <c r="AA720" s="96">
        <f t="shared" si="395"/>
        <v>58</v>
      </c>
      <c r="AB720" s="97">
        <f t="shared" si="396"/>
        <v>1433.6337931034482</v>
      </c>
      <c r="AC720" s="97">
        <f t="shared" si="397"/>
        <v>2525.9262068965518</v>
      </c>
      <c r="AD720" s="98">
        <v>3959.56</v>
      </c>
      <c r="AE720" s="98">
        <v>4015.8</v>
      </c>
      <c r="AF720" s="98">
        <v>4025</v>
      </c>
      <c r="AG720" s="98">
        <f t="shared" si="398"/>
        <v>65.440000000000055</v>
      </c>
      <c r="AH720" s="99">
        <v>672.5</v>
      </c>
      <c r="AI720" s="100">
        <f t="shared" si="399"/>
        <v>2706812.5</v>
      </c>
      <c r="AJ720" s="100">
        <f>(0.6*AH720)*2</f>
        <v>807</v>
      </c>
      <c r="AK720" s="100">
        <v>0</v>
      </c>
      <c r="AL720" s="100">
        <v>0</v>
      </c>
      <c r="AM720" s="100">
        <v>0</v>
      </c>
      <c r="AN720" s="100">
        <v>0</v>
      </c>
      <c r="AO720" s="100">
        <v>0</v>
      </c>
      <c r="AP720" s="100">
        <f t="shared" si="414"/>
        <v>135381</v>
      </c>
      <c r="AQ720" s="101">
        <f t="shared" si="404"/>
        <v>2843001</v>
      </c>
      <c r="AR720" s="101">
        <v>0</v>
      </c>
      <c r="AS720" s="101">
        <v>0</v>
      </c>
      <c r="AT720" s="102" t="s">
        <v>33</v>
      </c>
      <c r="AU720" s="109" t="s">
        <v>118</v>
      </c>
      <c r="AV720" s="100">
        <v>0</v>
      </c>
      <c r="AW720" s="105">
        <v>0</v>
      </c>
      <c r="AX720" s="216">
        <f t="shared" si="424"/>
        <v>1.6258385093167718</v>
      </c>
      <c r="AY720" s="217">
        <f t="shared" si="425"/>
        <v>44009</v>
      </c>
      <c r="AZ720" s="107"/>
      <c r="BA720" s="94">
        <v>45574.802083333336</v>
      </c>
      <c r="BB720" s="94">
        <v>45574.8125</v>
      </c>
      <c r="BC720" s="94">
        <v>45574.8125</v>
      </c>
      <c r="BD720" s="94">
        <v>45574.930555555555</v>
      </c>
      <c r="BE720" s="95">
        <f t="shared" si="426"/>
        <v>0.12847222221898846</v>
      </c>
      <c r="BF720" s="95">
        <v>7.6388888888888886E-3</v>
      </c>
      <c r="BG720" s="95">
        <v>0</v>
      </c>
      <c r="BH720" s="95">
        <f t="shared" si="427"/>
        <v>1.0416666664241347E-2</v>
      </c>
      <c r="BI720" s="95">
        <f t="shared" si="427"/>
        <v>0</v>
      </c>
      <c r="BJ720" s="95">
        <f t="shared" si="427"/>
        <v>0.11805555555474712</v>
      </c>
      <c r="BK720" s="95">
        <f t="shared" si="428"/>
        <v>0.11805555555474712</v>
      </c>
      <c r="BL720" s="95">
        <f t="shared" si="429"/>
        <v>0.11041666666585823</v>
      </c>
      <c r="BM720" s="95" t="str">
        <f t="shared" si="430"/>
        <v>00:00</v>
      </c>
      <c r="BN720" s="110"/>
    </row>
    <row r="721" spans="1:66" s="8" customFormat="1" ht="12.75" customHeight="1" x14ac:dyDescent="0.25">
      <c r="A721" s="150">
        <v>655</v>
      </c>
      <c r="B721" s="150">
        <v>28</v>
      </c>
      <c r="C721" s="90">
        <v>6</v>
      </c>
      <c r="D721" s="111" t="s">
        <v>113</v>
      </c>
      <c r="E721" s="210" t="s">
        <v>909</v>
      </c>
      <c r="F721" s="150" t="s">
        <v>32</v>
      </c>
      <c r="G721" s="150" t="s">
        <v>15</v>
      </c>
      <c r="H721" s="150" t="s">
        <v>135</v>
      </c>
      <c r="I721" s="150" t="s">
        <v>144</v>
      </c>
      <c r="J721" s="151">
        <v>45545</v>
      </c>
      <c r="K721" s="135" t="s">
        <v>117</v>
      </c>
      <c r="L721" s="135">
        <v>261006041</v>
      </c>
      <c r="M721" s="151">
        <v>45575</v>
      </c>
      <c r="N721" s="152">
        <v>45575.111111111109</v>
      </c>
      <c r="O721" s="152">
        <v>45575.111111111109</v>
      </c>
      <c r="P721" s="152">
        <v>45575.114583333336</v>
      </c>
      <c r="Q721" s="152">
        <v>45575.3125</v>
      </c>
      <c r="R721" s="152" t="s">
        <v>118</v>
      </c>
      <c r="S721" s="152" t="s">
        <v>118</v>
      </c>
      <c r="T721" s="152">
        <v>45575.375</v>
      </c>
      <c r="U721" s="152">
        <v>45575.464583333334</v>
      </c>
      <c r="V721" s="219">
        <f t="shared" si="422"/>
        <v>0.20138888889050577</v>
      </c>
      <c r="W721" s="203">
        <v>0.20833333333333334</v>
      </c>
      <c r="X721" s="219" t="str">
        <f t="shared" si="423"/>
        <v>00:00</v>
      </c>
      <c r="Y721" s="96">
        <v>0</v>
      </c>
      <c r="Z721" s="96">
        <v>58</v>
      </c>
      <c r="AA721" s="96">
        <f t="shared" si="395"/>
        <v>58</v>
      </c>
      <c r="AB721" s="97">
        <f t="shared" si="396"/>
        <v>0</v>
      </c>
      <c r="AC721" s="97">
        <f t="shared" si="397"/>
        <v>3785.7299999999996</v>
      </c>
      <c r="AD721" s="98">
        <v>3785.73</v>
      </c>
      <c r="AE721" s="98">
        <v>4011.9</v>
      </c>
      <c r="AF721" s="98">
        <v>4014.6</v>
      </c>
      <c r="AG721" s="98">
        <f t="shared" si="398"/>
        <v>228.86999999999989</v>
      </c>
      <c r="AH721" s="99">
        <v>797.2</v>
      </c>
      <c r="AI721" s="100">
        <f t="shared" si="399"/>
        <v>3200439.12</v>
      </c>
      <c r="AJ721" s="100">
        <f>(0.8*AH721)*2</f>
        <v>1275.5200000000002</v>
      </c>
      <c r="AK721" s="100">
        <v>0</v>
      </c>
      <c r="AL721" s="100">
        <v>0</v>
      </c>
      <c r="AM721" s="100">
        <v>0</v>
      </c>
      <c r="AN721" s="100">
        <v>0</v>
      </c>
      <c r="AO721" s="100">
        <v>0</v>
      </c>
      <c r="AP721" s="100">
        <f t="shared" si="414"/>
        <v>160086</v>
      </c>
      <c r="AQ721" s="101">
        <f t="shared" si="404"/>
        <v>3361801</v>
      </c>
      <c r="AR721" s="101">
        <v>0</v>
      </c>
      <c r="AS721" s="101">
        <v>0</v>
      </c>
      <c r="AT721" s="102" t="s">
        <v>33</v>
      </c>
      <c r="AU721" s="109" t="s">
        <v>118</v>
      </c>
      <c r="AV721" s="100">
        <v>0</v>
      </c>
      <c r="AW721" s="105">
        <v>0</v>
      </c>
      <c r="AX721" s="216">
        <f t="shared" si="424"/>
        <v>5.7009415632939744</v>
      </c>
      <c r="AY721" s="217">
        <f t="shared" si="425"/>
        <v>182456</v>
      </c>
      <c r="AZ721" s="107"/>
      <c r="BA721" s="94">
        <v>45575.111111111109</v>
      </c>
      <c r="BB721" s="94">
        <v>45575.114583333336</v>
      </c>
      <c r="BC721" s="94">
        <v>45575.114583333336</v>
      </c>
      <c r="BD721" s="94">
        <v>45575.28125</v>
      </c>
      <c r="BE721" s="95">
        <f t="shared" si="426"/>
        <v>0.17013888889050577</v>
      </c>
      <c r="BF721" s="95">
        <v>7.6388888888888886E-3</v>
      </c>
      <c r="BG721" s="95">
        <v>5.6944444444444443E-2</v>
      </c>
      <c r="BH721" s="95">
        <f t="shared" si="427"/>
        <v>3.4722222262644209E-3</v>
      </c>
      <c r="BI721" s="95">
        <f t="shared" si="427"/>
        <v>0</v>
      </c>
      <c r="BJ721" s="95">
        <f t="shared" si="427"/>
        <v>0.16666666666424135</v>
      </c>
      <c r="BK721" s="95">
        <f t="shared" si="428"/>
        <v>0.16666666666424135</v>
      </c>
      <c r="BL721" s="95">
        <f t="shared" si="429"/>
        <v>0.10208333333090802</v>
      </c>
      <c r="BM721" s="95" t="str">
        <f t="shared" si="430"/>
        <v>00:00</v>
      </c>
      <c r="BN721" s="110"/>
    </row>
    <row r="722" spans="1:66" s="8" customFormat="1" ht="12.75" customHeight="1" x14ac:dyDescent="0.25">
      <c r="A722" s="150">
        <v>656</v>
      </c>
      <c r="B722" s="150">
        <v>29</v>
      </c>
      <c r="C722" s="90">
        <v>8</v>
      </c>
      <c r="D722" s="111" t="s">
        <v>113</v>
      </c>
      <c r="E722" s="210" t="s">
        <v>863</v>
      </c>
      <c r="F722" s="150" t="s">
        <v>32</v>
      </c>
      <c r="G722" s="150" t="s">
        <v>8</v>
      </c>
      <c r="H722" s="150" t="s">
        <v>120</v>
      </c>
      <c r="I722" s="150" t="s">
        <v>920</v>
      </c>
      <c r="J722" s="151">
        <v>45545</v>
      </c>
      <c r="K722" s="135" t="s">
        <v>122</v>
      </c>
      <c r="L722" s="135">
        <v>261006043</v>
      </c>
      <c r="M722" s="151">
        <v>45575</v>
      </c>
      <c r="N722" s="152">
        <v>45575.354166666664</v>
      </c>
      <c r="O722" s="152">
        <v>45575.354166666664</v>
      </c>
      <c r="P722" s="152">
        <v>45575.357638888891</v>
      </c>
      <c r="Q722" s="152">
        <v>45575.541666666664</v>
      </c>
      <c r="R722" s="152" t="s">
        <v>118</v>
      </c>
      <c r="S722" s="152" t="s">
        <v>118</v>
      </c>
      <c r="T722" s="152">
        <v>45575.583333333336</v>
      </c>
      <c r="U722" s="152">
        <v>45575.709722222222</v>
      </c>
      <c r="V722" s="219">
        <f t="shared" si="422"/>
        <v>0.1875</v>
      </c>
      <c r="W722" s="203">
        <v>0.20833333333333334</v>
      </c>
      <c r="X722" s="219" t="str">
        <f t="shared" si="423"/>
        <v>00:00</v>
      </c>
      <c r="Y722" s="96">
        <v>0</v>
      </c>
      <c r="Z722" s="96">
        <v>58</v>
      </c>
      <c r="AA722" s="96">
        <f t="shared" si="395"/>
        <v>58</v>
      </c>
      <c r="AB722" s="97">
        <f t="shared" si="396"/>
        <v>0</v>
      </c>
      <c r="AC722" s="97">
        <f t="shared" si="397"/>
        <v>3936.4</v>
      </c>
      <c r="AD722" s="98">
        <v>3936.4</v>
      </c>
      <c r="AE722" s="98">
        <v>4060</v>
      </c>
      <c r="AF722" s="98">
        <v>4060</v>
      </c>
      <c r="AG722" s="98">
        <f t="shared" si="398"/>
        <v>123.59999999999991</v>
      </c>
      <c r="AH722" s="99">
        <v>1398.7</v>
      </c>
      <c r="AI722" s="100">
        <f t="shared" si="399"/>
        <v>5678722</v>
      </c>
      <c r="AJ722" s="100">
        <f>(0*AH722)*2</f>
        <v>0</v>
      </c>
      <c r="AK722" s="100">
        <v>0</v>
      </c>
      <c r="AL722" s="100">
        <v>0</v>
      </c>
      <c r="AM722" s="100">
        <v>0</v>
      </c>
      <c r="AN722" s="100">
        <v>0</v>
      </c>
      <c r="AO722" s="100">
        <v>0</v>
      </c>
      <c r="AP722" s="100">
        <f t="shared" si="414"/>
        <v>283937</v>
      </c>
      <c r="AQ722" s="101">
        <f t="shared" si="404"/>
        <v>5962659</v>
      </c>
      <c r="AR722" s="101">
        <v>0</v>
      </c>
      <c r="AS722" s="101">
        <v>0</v>
      </c>
      <c r="AT722" s="102" t="s">
        <v>33</v>
      </c>
      <c r="AU722" s="109" t="s">
        <v>118</v>
      </c>
      <c r="AV722" s="100">
        <v>0</v>
      </c>
      <c r="AW722" s="105">
        <v>0</v>
      </c>
      <c r="AX722" s="216">
        <f t="shared" si="424"/>
        <v>3.044334975369456</v>
      </c>
      <c r="AY722" s="217">
        <f t="shared" si="425"/>
        <v>172880</v>
      </c>
      <c r="AZ722" s="107"/>
      <c r="BA722" s="94">
        <v>45575.354166666664</v>
      </c>
      <c r="BB722" s="94">
        <v>45575.357638888891</v>
      </c>
      <c r="BC722" s="94">
        <v>45575.357638888891</v>
      </c>
      <c r="BD722" s="94">
        <v>45575.506944444445</v>
      </c>
      <c r="BE722" s="95">
        <f t="shared" si="426"/>
        <v>0.15277777778101154</v>
      </c>
      <c r="BF722" s="95">
        <v>0</v>
      </c>
      <c r="BG722" s="95">
        <v>0</v>
      </c>
      <c r="BH722" s="95">
        <f t="shared" si="427"/>
        <v>3.4722222262644209E-3</v>
      </c>
      <c r="BI722" s="95">
        <f t="shared" si="427"/>
        <v>0</v>
      </c>
      <c r="BJ722" s="95">
        <f t="shared" si="427"/>
        <v>0.14930555555474712</v>
      </c>
      <c r="BK722" s="95">
        <f t="shared" si="428"/>
        <v>0.14930555555474712</v>
      </c>
      <c r="BL722" s="95">
        <f t="shared" si="429"/>
        <v>0.14930555555474712</v>
      </c>
      <c r="BM722" s="95" t="str">
        <f t="shared" si="430"/>
        <v>00:00</v>
      </c>
      <c r="BN722" s="110"/>
    </row>
    <row r="723" spans="1:66" s="8" customFormat="1" ht="12.75" customHeight="1" x14ac:dyDescent="0.25">
      <c r="A723" s="150">
        <v>657</v>
      </c>
      <c r="B723" s="150">
        <v>30</v>
      </c>
      <c r="C723" s="90">
        <v>19</v>
      </c>
      <c r="D723" s="111" t="s">
        <v>148</v>
      </c>
      <c r="E723" s="210" t="s">
        <v>840</v>
      </c>
      <c r="F723" s="150" t="s">
        <v>19</v>
      </c>
      <c r="G723" s="150" t="s">
        <v>17</v>
      </c>
      <c r="H723" s="150" t="s">
        <v>150</v>
      </c>
      <c r="I723" s="150" t="s">
        <v>178</v>
      </c>
      <c r="J723" s="151">
        <v>45545</v>
      </c>
      <c r="K723" s="135" t="s">
        <v>117</v>
      </c>
      <c r="L723" s="135">
        <v>461000506</v>
      </c>
      <c r="M723" s="151">
        <v>45576</v>
      </c>
      <c r="N723" s="152">
        <v>45575.645833333336</v>
      </c>
      <c r="O723" s="152">
        <v>45575.645833333336</v>
      </c>
      <c r="P723" s="152">
        <v>45575.649305555555</v>
      </c>
      <c r="Q723" s="152">
        <v>45575.854166666664</v>
      </c>
      <c r="R723" s="152" t="s">
        <v>118</v>
      </c>
      <c r="S723" s="152" t="s">
        <v>118</v>
      </c>
      <c r="T723" s="152">
        <v>45575.9375</v>
      </c>
      <c r="U723" s="152">
        <v>45576.121527777781</v>
      </c>
      <c r="V723" s="219">
        <f t="shared" si="422"/>
        <v>0.20833333332848269</v>
      </c>
      <c r="W723" s="203">
        <v>0.20833333333333334</v>
      </c>
      <c r="X723" s="219" t="str">
        <f t="shared" si="423"/>
        <v>00:00</v>
      </c>
      <c r="Y723" s="96">
        <v>12</v>
      </c>
      <c r="Z723" s="96">
        <v>47</v>
      </c>
      <c r="AA723" s="96">
        <f t="shared" si="395"/>
        <v>59</v>
      </c>
      <c r="AB723" s="97">
        <f t="shared" si="396"/>
        <v>840.97016949152555</v>
      </c>
      <c r="AC723" s="97">
        <f t="shared" si="397"/>
        <v>3293.7998305084752</v>
      </c>
      <c r="AD723" s="98">
        <v>4134.7700000000004</v>
      </c>
      <c r="AE723" s="98">
        <v>4096.8</v>
      </c>
      <c r="AF723" s="98">
        <v>4147.8</v>
      </c>
      <c r="AG723" s="98">
        <f t="shared" si="398"/>
        <v>13.029999999999745</v>
      </c>
      <c r="AH723" s="99">
        <v>672.5</v>
      </c>
      <c r="AI723" s="100">
        <f t="shared" si="399"/>
        <v>2789395.5</v>
      </c>
      <c r="AJ723" s="100">
        <f>(0*AH723)*2</f>
        <v>0</v>
      </c>
      <c r="AK723" s="100">
        <v>0</v>
      </c>
      <c r="AL723" s="100">
        <v>48580</v>
      </c>
      <c r="AM723" s="100">
        <v>0</v>
      </c>
      <c r="AN723" s="100">
        <v>0</v>
      </c>
      <c r="AO723" s="100">
        <v>0</v>
      </c>
      <c r="AP723" s="100">
        <f t="shared" si="414"/>
        <v>141899</v>
      </c>
      <c r="AQ723" s="101">
        <f t="shared" si="404"/>
        <v>2979875</v>
      </c>
      <c r="AR723" s="101">
        <v>0</v>
      </c>
      <c r="AS723" s="101">
        <v>0</v>
      </c>
      <c r="AT723" s="102" t="s">
        <v>33</v>
      </c>
      <c r="AU723" s="109">
        <v>46</v>
      </c>
      <c r="AV723" s="100">
        <f>136.2-42.2</f>
        <v>93.999999999999986</v>
      </c>
      <c r="AW723" s="105">
        <v>0</v>
      </c>
      <c r="AX723" s="216">
        <f t="shared" si="424"/>
        <v>0.31414243695452398</v>
      </c>
      <c r="AY723" s="217">
        <f t="shared" si="425"/>
        <v>8763</v>
      </c>
      <c r="AZ723" s="107"/>
      <c r="BA723" s="94">
        <v>45575.645833333336</v>
      </c>
      <c r="BB723" s="94">
        <v>45575.649305555555</v>
      </c>
      <c r="BC723" s="94">
        <v>45575.652777777781</v>
      </c>
      <c r="BD723" s="94">
        <v>45575.786111111112</v>
      </c>
      <c r="BE723" s="95">
        <f t="shared" si="426"/>
        <v>0.14027777777664596</v>
      </c>
      <c r="BF723" s="95">
        <v>0</v>
      </c>
      <c r="BG723" s="95">
        <v>1.2500000000000001E-2</v>
      </c>
      <c r="BH723" s="95">
        <f t="shared" si="427"/>
        <v>3.4722222189884633E-3</v>
      </c>
      <c r="BI723" s="95">
        <f t="shared" si="427"/>
        <v>3.4722222262644209E-3</v>
      </c>
      <c r="BJ723" s="95">
        <f t="shared" si="427"/>
        <v>0.13333333333139308</v>
      </c>
      <c r="BK723" s="95">
        <f t="shared" si="428"/>
        <v>0.1368055555576575</v>
      </c>
      <c r="BL723" s="95">
        <f t="shared" si="429"/>
        <v>0.1243055555576575</v>
      </c>
      <c r="BM723" s="95" t="str">
        <f t="shared" si="430"/>
        <v>00:00</v>
      </c>
      <c r="BN723" s="110"/>
    </row>
    <row r="724" spans="1:66" s="8" customFormat="1" ht="12.75" customHeight="1" x14ac:dyDescent="0.25">
      <c r="A724" s="150">
        <v>658</v>
      </c>
      <c r="B724" s="150">
        <v>31</v>
      </c>
      <c r="C724" s="90">
        <v>15</v>
      </c>
      <c r="D724" s="111" t="s">
        <v>148</v>
      </c>
      <c r="E724" s="210" t="s">
        <v>904</v>
      </c>
      <c r="F724" s="150" t="s">
        <v>16</v>
      </c>
      <c r="G724" s="150" t="s">
        <v>17</v>
      </c>
      <c r="H724" s="150" t="s">
        <v>150</v>
      </c>
      <c r="I724" s="150" t="s">
        <v>181</v>
      </c>
      <c r="J724" s="151">
        <v>45545</v>
      </c>
      <c r="K724" s="135" t="s">
        <v>122</v>
      </c>
      <c r="L724" s="135">
        <v>461000507</v>
      </c>
      <c r="M724" s="151">
        <v>45576</v>
      </c>
      <c r="N724" s="152">
        <v>45576.09375</v>
      </c>
      <c r="O724" s="152">
        <v>45576.09375</v>
      </c>
      <c r="P724" s="152">
        <v>45576.107638888891</v>
      </c>
      <c r="Q724" s="152">
        <v>45576.291666666664</v>
      </c>
      <c r="R724" s="152" t="s">
        <v>118</v>
      </c>
      <c r="S724" s="152" t="s">
        <v>118</v>
      </c>
      <c r="T724" s="152">
        <v>45576.368055555555</v>
      </c>
      <c r="U724" s="152">
        <v>45576.479861111111</v>
      </c>
      <c r="V724" s="219">
        <f t="shared" si="422"/>
        <v>0.19791666666424135</v>
      </c>
      <c r="W724" s="203">
        <v>0.20833333333333334</v>
      </c>
      <c r="X724" s="219" t="str">
        <f t="shared" si="423"/>
        <v>00:00</v>
      </c>
      <c r="Y724" s="96">
        <v>20</v>
      </c>
      <c r="Z724" s="96">
        <v>38</v>
      </c>
      <c r="AA724" s="96">
        <f t="shared" si="395"/>
        <v>58</v>
      </c>
      <c r="AB724" s="97">
        <f t="shared" si="396"/>
        <v>1333.796551724138</v>
      </c>
      <c r="AC724" s="97">
        <f t="shared" si="397"/>
        <v>2534.2134482758624</v>
      </c>
      <c r="AD724" s="98">
        <v>3868.01</v>
      </c>
      <c r="AE724" s="98">
        <v>4023.4</v>
      </c>
      <c r="AF724" s="98">
        <v>4023.6</v>
      </c>
      <c r="AG724" s="98">
        <f t="shared" si="398"/>
        <v>155.58999999999969</v>
      </c>
      <c r="AH724" s="99">
        <v>672.5</v>
      </c>
      <c r="AI724" s="100">
        <f t="shared" si="399"/>
        <v>2705871</v>
      </c>
      <c r="AJ724" s="100">
        <f>(0*AH724)*2</f>
        <v>0</v>
      </c>
      <c r="AK724" s="100">
        <v>0</v>
      </c>
      <c r="AL724" s="100">
        <v>0</v>
      </c>
      <c r="AM724" s="100">
        <v>0</v>
      </c>
      <c r="AN724" s="100">
        <v>0</v>
      </c>
      <c r="AO724" s="100">
        <v>0</v>
      </c>
      <c r="AP724" s="100">
        <f t="shared" si="414"/>
        <v>135294</v>
      </c>
      <c r="AQ724" s="101">
        <f t="shared" si="404"/>
        <v>2841165</v>
      </c>
      <c r="AR724" s="101">
        <v>0</v>
      </c>
      <c r="AS724" s="101">
        <v>0</v>
      </c>
      <c r="AT724" s="102" t="s">
        <v>34</v>
      </c>
      <c r="AU724" s="109" t="s">
        <v>118</v>
      </c>
      <c r="AV724" s="100">
        <v>0</v>
      </c>
      <c r="AW724" s="105">
        <v>0</v>
      </c>
      <c r="AX724" s="216">
        <f t="shared" si="424"/>
        <v>3.8669350830102318</v>
      </c>
      <c r="AY724" s="217">
        <f t="shared" si="425"/>
        <v>104635</v>
      </c>
      <c r="AZ724" s="107"/>
      <c r="BA724" s="94">
        <v>45576.09375</v>
      </c>
      <c r="BB724" s="94">
        <v>45576.107638888891</v>
      </c>
      <c r="BC724" s="94">
        <v>45576.107638888891</v>
      </c>
      <c r="BD724" s="94">
        <v>45576.248611111114</v>
      </c>
      <c r="BE724" s="95">
        <f t="shared" si="426"/>
        <v>0.15486111111385981</v>
      </c>
      <c r="BF724" s="95">
        <v>2.361111111111111E-2</v>
      </c>
      <c r="BG724" s="95">
        <v>0</v>
      </c>
      <c r="BH724" s="95">
        <f t="shared" si="427"/>
        <v>1.3888888890505768E-2</v>
      </c>
      <c r="BI724" s="95">
        <f t="shared" si="427"/>
        <v>0</v>
      </c>
      <c r="BJ724" s="95">
        <f t="shared" si="427"/>
        <v>0.14097222222335404</v>
      </c>
      <c r="BK724" s="95">
        <f t="shared" si="428"/>
        <v>0.14097222222335404</v>
      </c>
      <c r="BL724" s="95">
        <f t="shared" si="429"/>
        <v>0.11736111111224293</v>
      </c>
      <c r="BM724" s="95" t="str">
        <f t="shared" si="430"/>
        <v>00:00</v>
      </c>
      <c r="BN724" s="110"/>
    </row>
    <row r="725" spans="1:66" s="8" customFormat="1" ht="12.75" customHeight="1" x14ac:dyDescent="0.25">
      <c r="A725" s="150">
        <v>659</v>
      </c>
      <c r="B725" s="150">
        <v>32</v>
      </c>
      <c r="C725" s="90">
        <v>7</v>
      </c>
      <c r="D725" s="111" t="s">
        <v>113</v>
      </c>
      <c r="E725" s="210" t="s">
        <v>909</v>
      </c>
      <c r="F725" s="150" t="s">
        <v>32</v>
      </c>
      <c r="G725" s="150" t="s">
        <v>15</v>
      </c>
      <c r="H725" s="150" t="s">
        <v>805</v>
      </c>
      <c r="I725" s="150" t="s">
        <v>160</v>
      </c>
      <c r="J725" s="151">
        <v>45576</v>
      </c>
      <c r="K725" s="135" t="s">
        <v>117</v>
      </c>
      <c r="L725" s="135">
        <v>261006046</v>
      </c>
      <c r="M725" s="151">
        <v>45576</v>
      </c>
      <c r="N725" s="152">
        <v>45576.333333333336</v>
      </c>
      <c r="O725" s="152">
        <v>45576.333333333336</v>
      </c>
      <c r="P725" s="152">
        <v>45576.336805555555</v>
      </c>
      <c r="Q725" s="152">
        <v>45576.520833333336</v>
      </c>
      <c r="R725" s="152" t="s">
        <v>118</v>
      </c>
      <c r="S725" s="152" t="s">
        <v>118</v>
      </c>
      <c r="T725" s="152">
        <v>45576.583333333336</v>
      </c>
      <c r="U725" s="152">
        <v>45576.663888888892</v>
      </c>
      <c r="V725" s="219">
        <f t="shared" si="422"/>
        <v>0.1875</v>
      </c>
      <c r="W725" s="203">
        <v>0.20833333333333334</v>
      </c>
      <c r="X725" s="219" t="str">
        <f t="shared" si="423"/>
        <v>00:00</v>
      </c>
      <c r="Y725" s="96">
        <v>3</v>
      </c>
      <c r="Z725" s="96">
        <v>56</v>
      </c>
      <c r="AA725" s="96">
        <f t="shared" si="395"/>
        <v>59</v>
      </c>
      <c r="AB725" s="97">
        <f t="shared" si="396"/>
        <v>187.93728813559323</v>
      </c>
      <c r="AC725" s="97">
        <f t="shared" si="397"/>
        <v>3508.1627118644069</v>
      </c>
      <c r="AD725" s="98">
        <v>3696.1</v>
      </c>
      <c r="AE725" s="98">
        <v>4082.4</v>
      </c>
      <c r="AF725" s="98">
        <v>4082.4</v>
      </c>
      <c r="AG725" s="98">
        <f t="shared" si="398"/>
        <v>386.30000000000018</v>
      </c>
      <c r="AH725" s="99">
        <v>1435.6</v>
      </c>
      <c r="AI725" s="100">
        <f t="shared" si="399"/>
        <v>5860693.4399999995</v>
      </c>
      <c r="AJ725" s="100">
        <f>(0*AH725)*2</f>
        <v>0</v>
      </c>
      <c r="AK725" s="100">
        <v>0</v>
      </c>
      <c r="AL725" s="100">
        <v>0</v>
      </c>
      <c r="AM725" s="100">
        <v>0</v>
      </c>
      <c r="AN725" s="100">
        <v>0</v>
      </c>
      <c r="AO725" s="100">
        <v>0</v>
      </c>
      <c r="AP725" s="100">
        <f t="shared" si="414"/>
        <v>293035</v>
      </c>
      <c r="AQ725" s="101">
        <f t="shared" ref="AQ725:AQ759" si="431">ROUNDUP(SUM(AI725:AP725),0)</f>
        <v>6153729</v>
      </c>
      <c r="AR725" s="101">
        <v>0</v>
      </c>
      <c r="AS725" s="101">
        <v>0</v>
      </c>
      <c r="AT725" s="102" t="s">
        <v>33</v>
      </c>
      <c r="AU725" s="109" t="s">
        <v>118</v>
      </c>
      <c r="AV725" s="100">
        <v>0</v>
      </c>
      <c r="AW725" s="105">
        <v>0</v>
      </c>
      <c r="AX725" s="216">
        <f t="shared" si="424"/>
        <v>9.4625710366451141</v>
      </c>
      <c r="AY725" s="217">
        <f t="shared" si="425"/>
        <v>554573</v>
      </c>
      <c r="AZ725" s="107"/>
      <c r="BA725" s="94">
        <v>45576.333333333336</v>
      </c>
      <c r="BB725" s="94">
        <v>45576.336805555555</v>
      </c>
      <c r="BC725" s="94">
        <v>45576.336805555555</v>
      </c>
      <c r="BD725" s="94">
        <v>45576.518750000003</v>
      </c>
      <c r="BE725" s="95">
        <f t="shared" si="426"/>
        <v>0.18541666666715173</v>
      </c>
      <c r="BF725" s="95">
        <v>9.0277777777777769E-3</v>
      </c>
      <c r="BG725" s="95">
        <v>6.9444444444444441E-3</v>
      </c>
      <c r="BH725" s="95">
        <f t="shared" si="427"/>
        <v>3.4722222189884633E-3</v>
      </c>
      <c r="BI725" s="95">
        <f t="shared" si="427"/>
        <v>0</v>
      </c>
      <c r="BJ725" s="95">
        <f t="shared" si="427"/>
        <v>0.18194444444816327</v>
      </c>
      <c r="BK725" s="95">
        <f t="shared" si="428"/>
        <v>0.18194444444816327</v>
      </c>
      <c r="BL725" s="95">
        <f t="shared" si="429"/>
        <v>0.16597222222594105</v>
      </c>
      <c r="BM725" s="95" t="str">
        <f t="shared" si="430"/>
        <v>00:00</v>
      </c>
      <c r="BN725" s="110"/>
    </row>
    <row r="726" spans="1:66" s="8" customFormat="1" ht="12.75" customHeight="1" x14ac:dyDescent="0.25">
      <c r="A726" s="150">
        <v>660</v>
      </c>
      <c r="B726" s="150">
        <v>33</v>
      </c>
      <c r="C726" s="90">
        <v>16</v>
      </c>
      <c r="D726" s="111" t="s">
        <v>148</v>
      </c>
      <c r="E726" s="210" t="s">
        <v>904</v>
      </c>
      <c r="F726" s="150" t="s">
        <v>16</v>
      </c>
      <c r="G726" s="150" t="s">
        <v>17</v>
      </c>
      <c r="H726" s="150" t="s">
        <v>150</v>
      </c>
      <c r="I726" s="150" t="s">
        <v>180</v>
      </c>
      <c r="J726" s="151">
        <v>45576</v>
      </c>
      <c r="K726" s="135" t="s">
        <v>122</v>
      </c>
      <c r="L726" s="135">
        <v>461000508</v>
      </c>
      <c r="M726" s="151">
        <v>45576</v>
      </c>
      <c r="N726" s="152">
        <v>45576.53125</v>
      </c>
      <c r="O726" s="152">
        <v>45576.53125</v>
      </c>
      <c r="P726" s="152">
        <v>45576.534722222219</v>
      </c>
      <c r="Q726" s="152">
        <v>45576.739583333336</v>
      </c>
      <c r="R726" s="152" t="s">
        <v>118</v>
      </c>
      <c r="S726" s="152" t="s">
        <v>118</v>
      </c>
      <c r="T726" s="152">
        <v>45576.756944444445</v>
      </c>
      <c r="U726" s="152">
        <v>45576.863194444442</v>
      </c>
      <c r="V726" s="219">
        <f t="shared" si="422"/>
        <v>0.20833333333575865</v>
      </c>
      <c r="W726" s="203">
        <v>0.20833333333333334</v>
      </c>
      <c r="X726" s="219">
        <f t="shared" si="423"/>
        <v>2.4253099528692701E-12</v>
      </c>
      <c r="Y726" s="96">
        <v>15</v>
      </c>
      <c r="Z726" s="96">
        <v>43</v>
      </c>
      <c r="AA726" s="96">
        <f t="shared" si="395"/>
        <v>58</v>
      </c>
      <c r="AB726" s="97">
        <f t="shared" si="396"/>
        <v>1010.8318965517242</v>
      </c>
      <c r="AC726" s="97">
        <f t="shared" si="397"/>
        <v>2897.718103448276</v>
      </c>
      <c r="AD726" s="98">
        <v>3908.55</v>
      </c>
      <c r="AE726" s="98">
        <v>3995.8</v>
      </c>
      <c r="AF726" s="98">
        <v>4001.2</v>
      </c>
      <c r="AG726" s="98">
        <f t="shared" si="398"/>
        <v>92.649999999999636</v>
      </c>
      <c r="AH726" s="99">
        <v>672.5</v>
      </c>
      <c r="AI726" s="100">
        <f t="shared" si="399"/>
        <v>2690807</v>
      </c>
      <c r="AJ726" s="100">
        <f>(1*AH726)*2</f>
        <v>1345</v>
      </c>
      <c r="AK726" s="100">
        <v>0</v>
      </c>
      <c r="AL726" s="100">
        <v>0</v>
      </c>
      <c r="AM726" s="100">
        <v>0</v>
      </c>
      <c r="AN726" s="100">
        <v>0</v>
      </c>
      <c r="AO726" s="100">
        <v>0</v>
      </c>
      <c r="AP726" s="100">
        <f t="shared" si="414"/>
        <v>134608</v>
      </c>
      <c r="AQ726" s="101">
        <f t="shared" si="431"/>
        <v>2826760</v>
      </c>
      <c r="AR726" s="101">
        <v>0</v>
      </c>
      <c r="AS726" s="101">
        <v>0</v>
      </c>
      <c r="AT726" s="102" t="s">
        <v>33</v>
      </c>
      <c r="AU726" s="109" t="s">
        <v>118</v>
      </c>
      <c r="AV726" s="100">
        <v>0</v>
      </c>
      <c r="AW726" s="105">
        <v>0</v>
      </c>
      <c r="AX726" s="216">
        <f t="shared" si="424"/>
        <v>2.315555333399971</v>
      </c>
      <c r="AY726" s="217">
        <f t="shared" si="425"/>
        <v>62308</v>
      </c>
      <c r="AZ726" s="107"/>
      <c r="BA726" s="94">
        <v>45576.517361111109</v>
      </c>
      <c r="BB726" s="94">
        <v>45576.534722222219</v>
      </c>
      <c r="BC726" s="94">
        <v>45576.534722222219</v>
      </c>
      <c r="BD726" s="94">
        <v>45576.661805555559</v>
      </c>
      <c r="BE726" s="95">
        <f t="shared" si="426"/>
        <v>0.14444444444961846</v>
      </c>
      <c r="BF726" s="95">
        <v>6.9444444444444441E-3</v>
      </c>
      <c r="BG726" s="95">
        <v>1.3194444444444444E-2</v>
      </c>
      <c r="BH726" s="95">
        <f t="shared" si="427"/>
        <v>1.7361111109494232E-2</v>
      </c>
      <c r="BI726" s="95">
        <f t="shared" si="427"/>
        <v>0</v>
      </c>
      <c r="BJ726" s="95">
        <f t="shared" si="427"/>
        <v>0.12708333334012423</v>
      </c>
      <c r="BK726" s="95">
        <f t="shared" si="428"/>
        <v>0.12708333334012423</v>
      </c>
      <c r="BL726" s="95">
        <f t="shared" si="429"/>
        <v>0.10694444445123534</v>
      </c>
      <c r="BM726" s="95" t="str">
        <f t="shared" si="430"/>
        <v>00:00</v>
      </c>
      <c r="BN726" s="110"/>
    </row>
    <row r="727" spans="1:66" s="8" customFormat="1" ht="12.75" customHeight="1" x14ac:dyDescent="0.25">
      <c r="A727" s="150">
        <v>661</v>
      </c>
      <c r="B727" s="150">
        <v>34</v>
      </c>
      <c r="C727" s="90">
        <v>9</v>
      </c>
      <c r="D727" s="111" t="s">
        <v>113</v>
      </c>
      <c r="E727" s="210" t="s">
        <v>863</v>
      </c>
      <c r="F727" s="150" t="s">
        <v>32</v>
      </c>
      <c r="G727" s="150" t="s">
        <v>8</v>
      </c>
      <c r="H727" s="150" t="s">
        <v>783</v>
      </c>
      <c r="I727" s="150" t="s">
        <v>921</v>
      </c>
      <c r="J727" s="151">
        <v>45577</v>
      </c>
      <c r="K727" s="135" t="s">
        <v>122</v>
      </c>
      <c r="L727" s="135">
        <v>281000246</v>
      </c>
      <c r="M727" s="151">
        <v>45577</v>
      </c>
      <c r="N727" s="152">
        <v>45577.305555555555</v>
      </c>
      <c r="O727" s="152">
        <v>45577.305555555555</v>
      </c>
      <c r="P727" s="152">
        <v>45577.309027777781</v>
      </c>
      <c r="Q727" s="152">
        <v>45577.5</v>
      </c>
      <c r="R727" s="152" t="s">
        <v>118</v>
      </c>
      <c r="S727" s="152" t="s">
        <v>118</v>
      </c>
      <c r="T727" s="152">
        <v>45577.5625</v>
      </c>
      <c r="U727" s="152">
        <v>45577.657638888886</v>
      </c>
      <c r="V727" s="219">
        <f t="shared" si="422"/>
        <v>0.19444444444525288</v>
      </c>
      <c r="W727" s="203">
        <v>0.20833333333333334</v>
      </c>
      <c r="X727" s="219" t="str">
        <f t="shared" si="423"/>
        <v>00:00</v>
      </c>
      <c r="Y727" s="96">
        <v>6</v>
      </c>
      <c r="Z727" s="96">
        <v>53</v>
      </c>
      <c r="AA727" s="96">
        <f t="shared" si="395"/>
        <v>59</v>
      </c>
      <c r="AB727" s="97">
        <f t="shared" si="396"/>
        <v>406.97593220338985</v>
      </c>
      <c r="AC727" s="97">
        <f t="shared" si="397"/>
        <v>3594.9540677966102</v>
      </c>
      <c r="AD727" s="98">
        <v>4001.93</v>
      </c>
      <c r="AE727" s="98">
        <v>4099.7</v>
      </c>
      <c r="AF727" s="98">
        <v>4100.6000000000004</v>
      </c>
      <c r="AG727" s="98">
        <f t="shared" si="398"/>
        <v>98.670000000000528</v>
      </c>
      <c r="AH727" s="99">
        <v>1228</v>
      </c>
      <c r="AI727" s="100">
        <f t="shared" si="399"/>
        <v>5035536.8000000007</v>
      </c>
      <c r="AJ727" s="100">
        <f>(0*AH727)*2</f>
        <v>0</v>
      </c>
      <c r="AK727" s="100">
        <v>0</v>
      </c>
      <c r="AL727" s="100">
        <v>0</v>
      </c>
      <c r="AM727" s="100">
        <v>0</v>
      </c>
      <c r="AN727" s="100">
        <v>0</v>
      </c>
      <c r="AO727" s="100">
        <v>0</v>
      </c>
      <c r="AP727" s="100">
        <f t="shared" si="414"/>
        <v>251777</v>
      </c>
      <c r="AQ727" s="101">
        <f t="shared" si="431"/>
        <v>5287314</v>
      </c>
      <c r="AR727" s="101">
        <v>0</v>
      </c>
      <c r="AS727" s="101">
        <v>0</v>
      </c>
      <c r="AT727" s="102" t="s">
        <v>33</v>
      </c>
      <c r="AU727" s="109" t="s">
        <v>118</v>
      </c>
      <c r="AV727" s="100">
        <v>0</v>
      </c>
      <c r="AW727" s="105">
        <v>0</v>
      </c>
      <c r="AX727" s="216">
        <f t="shared" si="424"/>
        <v>2.406233234160867</v>
      </c>
      <c r="AY727" s="217">
        <f t="shared" si="425"/>
        <v>121167</v>
      </c>
      <c r="AZ727" s="107"/>
      <c r="BA727" s="94">
        <v>45577.295138888891</v>
      </c>
      <c r="BB727" s="94">
        <v>45577.298611111109</v>
      </c>
      <c r="BC727" s="94">
        <v>45577.298611111109</v>
      </c>
      <c r="BD727" s="94">
        <v>45577.402777777781</v>
      </c>
      <c r="BE727" s="95">
        <f t="shared" si="426"/>
        <v>0.10763888889050577</v>
      </c>
      <c r="BF727" s="95">
        <v>0</v>
      </c>
      <c r="BG727" s="95">
        <v>3.472222222222222E-3</v>
      </c>
      <c r="BH727" s="95">
        <f t="shared" si="427"/>
        <v>3.4722222189884633E-3</v>
      </c>
      <c r="BI727" s="95">
        <f t="shared" si="427"/>
        <v>0</v>
      </c>
      <c r="BJ727" s="95">
        <f t="shared" si="427"/>
        <v>0.10416666667151731</v>
      </c>
      <c r="BK727" s="95">
        <f t="shared" si="428"/>
        <v>0.10416666667151731</v>
      </c>
      <c r="BL727" s="95">
        <f t="shared" si="429"/>
        <v>0.10069444444929508</v>
      </c>
      <c r="BM727" s="95" t="str">
        <f t="shared" si="430"/>
        <v>00:00</v>
      </c>
      <c r="BN727" s="110"/>
    </row>
    <row r="728" spans="1:66" s="8" customFormat="1" ht="12.75" customHeight="1" x14ac:dyDescent="0.25">
      <c r="A728" s="150">
        <v>662</v>
      </c>
      <c r="B728" s="150">
        <v>35</v>
      </c>
      <c r="C728" s="90">
        <v>17</v>
      </c>
      <c r="D728" s="111" t="s">
        <v>148</v>
      </c>
      <c r="E728" s="210" t="s">
        <v>904</v>
      </c>
      <c r="F728" s="150" t="s">
        <v>16</v>
      </c>
      <c r="G728" s="150" t="s">
        <v>17</v>
      </c>
      <c r="H728" s="150" t="s">
        <v>150</v>
      </c>
      <c r="I728" s="150" t="s">
        <v>184</v>
      </c>
      <c r="J728" s="151">
        <v>45577</v>
      </c>
      <c r="K728" s="135" t="s">
        <v>117</v>
      </c>
      <c r="L728" s="135">
        <v>461000509</v>
      </c>
      <c r="M728" s="151">
        <v>45578</v>
      </c>
      <c r="N728" s="152">
        <v>45577.888888888891</v>
      </c>
      <c r="O728" s="152">
        <v>45577.888888888891</v>
      </c>
      <c r="P728" s="152">
        <v>45577.895833333336</v>
      </c>
      <c r="Q728" s="152">
        <v>45578.097222222219</v>
      </c>
      <c r="R728" s="152" t="s">
        <v>118</v>
      </c>
      <c r="S728" s="152">
        <v>45578.208333333336</v>
      </c>
      <c r="T728" s="152">
        <v>45578.215277777781</v>
      </c>
      <c r="U728" s="152">
        <v>45578.293749999997</v>
      </c>
      <c r="V728" s="219">
        <f t="shared" si="422"/>
        <v>0.20833333332848269</v>
      </c>
      <c r="W728" s="203">
        <v>0.20833333333333334</v>
      </c>
      <c r="X728" s="219" t="str">
        <f t="shared" si="423"/>
        <v>00:00</v>
      </c>
      <c r="Y728" s="96">
        <v>12</v>
      </c>
      <c r="Z728" s="96">
        <v>47</v>
      </c>
      <c r="AA728" s="96">
        <f t="shared" si="395"/>
        <v>59</v>
      </c>
      <c r="AB728" s="97">
        <f t="shared" si="396"/>
        <v>809.05830508474571</v>
      </c>
      <c r="AC728" s="97">
        <f t="shared" si="397"/>
        <v>3168.8116949152541</v>
      </c>
      <c r="AD728" s="98">
        <v>3977.87</v>
      </c>
      <c r="AE728" s="98">
        <v>4109</v>
      </c>
      <c r="AF728" s="98">
        <v>4115.6000000000004</v>
      </c>
      <c r="AG728" s="98">
        <f t="shared" si="398"/>
        <v>137.73000000000047</v>
      </c>
      <c r="AH728" s="99">
        <v>672.5</v>
      </c>
      <c r="AI728" s="100">
        <f t="shared" si="399"/>
        <v>2767741.0000000005</v>
      </c>
      <c r="AJ728" s="100">
        <f>(1.2*AH728)*2</f>
        <v>1614</v>
      </c>
      <c r="AK728" s="100">
        <v>0</v>
      </c>
      <c r="AL728" s="100">
        <v>0</v>
      </c>
      <c r="AM728" s="100">
        <v>0</v>
      </c>
      <c r="AN728" s="100">
        <v>0</v>
      </c>
      <c r="AO728" s="100">
        <v>0</v>
      </c>
      <c r="AP728" s="100">
        <f t="shared" si="414"/>
        <v>138468</v>
      </c>
      <c r="AQ728" s="101">
        <f t="shared" si="431"/>
        <v>2907823</v>
      </c>
      <c r="AR728" s="101">
        <v>0</v>
      </c>
      <c r="AS728" s="101">
        <v>0</v>
      </c>
      <c r="AT728" s="102" t="s">
        <v>33</v>
      </c>
      <c r="AU728" s="109" t="s">
        <v>118</v>
      </c>
      <c r="AV728" s="100">
        <v>0</v>
      </c>
      <c r="AW728" s="105">
        <v>3</v>
      </c>
      <c r="AX728" s="216">
        <f t="shared" si="424"/>
        <v>3.3465351346097885</v>
      </c>
      <c r="AY728" s="217">
        <f t="shared" si="425"/>
        <v>92624</v>
      </c>
      <c r="AZ728" s="107"/>
      <c r="BA728" s="94">
        <v>45577.888888888891</v>
      </c>
      <c r="BB728" s="94">
        <v>45577.895833333336</v>
      </c>
      <c r="BC728" s="94">
        <v>45577.895833333336</v>
      </c>
      <c r="BD728" s="94">
        <v>45578.194444444445</v>
      </c>
      <c r="BE728" s="95">
        <f t="shared" si="426"/>
        <v>0.30555555555474712</v>
      </c>
      <c r="BF728" s="95">
        <v>0.12430555555555556</v>
      </c>
      <c r="BG728" s="95">
        <v>8.3333333333333332E-3</v>
      </c>
      <c r="BH728" s="95">
        <f t="shared" si="427"/>
        <v>6.9444444452528842E-3</v>
      </c>
      <c r="BI728" s="95">
        <f t="shared" si="427"/>
        <v>0</v>
      </c>
      <c r="BJ728" s="95">
        <f t="shared" si="427"/>
        <v>0.29861111110949423</v>
      </c>
      <c r="BK728" s="95">
        <f t="shared" si="428"/>
        <v>0.29861111110949423</v>
      </c>
      <c r="BL728" s="95">
        <f t="shared" si="429"/>
        <v>0.16597222222060534</v>
      </c>
      <c r="BM728" s="95">
        <f t="shared" si="430"/>
        <v>9.7222222221413773E-2</v>
      </c>
      <c r="BN728" s="110"/>
    </row>
    <row r="729" spans="1:66" s="8" customFormat="1" ht="12.75" customHeight="1" x14ac:dyDescent="0.25">
      <c r="A729" s="150">
        <v>663</v>
      </c>
      <c r="B729" s="150">
        <v>36</v>
      </c>
      <c r="C729" s="90">
        <v>18</v>
      </c>
      <c r="D729" s="111" t="s">
        <v>148</v>
      </c>
      <c r="E729" s="210" t="s">
        <v>904</v>
      </c>
      <c r="F729" s="150" t="s">
        <v>16</v>
      </c>
      <c r="G729" s="150" t="s">
        <v>17</v>
      </c>
      <c r="H729" s="150" t="s">
        <v>150</v>
      </c>
      <c r="I729" s="150" t="s">
        <v>185</v>
      </c>
      <c r="J729" s="151">
        <v>45578</v>
      </c>
      <c r="K729" s="96" t="s">
        <v>122</v>
      </c>
      <c r="L729" s="96">
        <v>461000510</v>
      </c>
      <c r="M729" s="259">
        <v>45579</v>
      </c>
      <c r="N729" s="152">
        <v>45578.611111111109</v>
      </c>
      <c r="O729" s="152">
        <v>45578.611111111109</v>
      </c>
      <c r="P729" s="152">
        <v>45578.618055555555</v>
      </c>
      <c r="Q729" s="152">
        <v>45578.819444444445</v>
      </c>
      <c r="R729" s="152" t="s">
        <v>118</v>
      </c>
      <c r="S729" s="152" t="s">
        <v>118</v>
      </c>
      <c r="T729" s="152">
        <v>45578.875</v>
      </c>
      <c r="U729" s="152">
        <v>45579.069444444445</v>
      </c>
      <c r="V729" s="219">
        <f t="shared" si="422"/>
        <v>0.20833333333575865</v>
      </c>
      <c r="W729" s="203">
        <v>0.20833333333333334</v>
      </c>
      <c r="X729" s="219">
        <f t="shared" si="423"/>
        <v>2.4253099528692701E-12</v>
      </c>
      <c r="Y729" s="96">
        <v>13</v>
      </c>
      <c r="Z729" s="96">
        <v>46</v>
      </c>
      <c r="AA729" s="96">
        <f t="shared" ref="AA729:AA792" si="432">+Y729+Z729</f>
        <v>59</v>
      </c>
      <c r="AB729" s="97">
        <f t="shared" ref="AB729:AB792" si="433">+AD729/AA729*Y729</f>
        <v>900.19050847457629</v>
      </c>
      <c r="AC729" s="97">
        <f t="shared" ref="AC729:AC792" si="434">+AD729/AA729*Z729</f>
        <v>3185.2894915254237</v>
      </c>
      <c r="AD729" s="98">
        <v>4085.48</v>
      </c>
      <c r="AE729" s="98">
        <v>4089.2</v>
      </c>
      <c r="AF729" s="98">
        <v>4126.2</v>
      </c>
      <c r="AG729" s="98">
        <f t="shared" ref="AG729:AG792" si="435">+AF729-AD729</f>
        <v>40.7199999999998</v>
      </c>
      <c r="AH729" s="99">
        <v>672.5</v>
      </c>
      <c r="AI729" s="100">
        <f t="shared" ref="AI729:AI792" si="436">+AF729*AH729</f>
        <v>2774869.5</v>
      </c>
      <c r="AJ729" s="100">
        <f t="shared" ref="AJ729:AJ736" si="437">(0*AH729)*2</f>
        <v>0</v>
      </c>
      <c r="AK729" s="100">
        <v>0</v>
      </c>
      <c r="AL729" s="100">
        <v>48580</v>
      </c>
      <c r="AM729" s="100">
        <v>0</v>
      </c>
      <c r="AN729" s="100">
        <v>0</v>
      </c>
      <c r="AO729" s="100">
        <v>0</v>
      </c>
      <c r="AP729" s="100">
        <f t="shared" si="414"/>
        <v>141173</v>
      </c>
      <c r="AQ729" s="101">
        <f t="shared" si="431"/>
        <v>2964623</v>
      </c>
      <c r="AR729" s="101">
        <v>0</v>
      </c>
      <c r="AS729" s="101">
        <v>0</v>
      </c>
      <c r="AT729" s="102" t="s">
        <v>33</v>
      </c>
      <c r="AU729" s="109">
        <v>32</v>
      </c>
      <c r="AV729" s="100">
        <f>96.66-29.66</f>
        <v>67</v>
      </c>
      <c r="AW729" s="105">
        <v>0</v>
      </c>
      <c r="AX729" s="216">
        <f t="shared" si="424"/>
        <v>0.98686442731810864</v>
      </c>
      <c r="AY729" s="217">
        <f t="shared" si="425"/>
        <v>27385</v>
      </c>
      <c r="AZ729" s="107"/>
      <c r="BA729" s="94">
        <v>45578.611111111109</v>
      </c>
      <c r="BB729" s="94">
        <v>45578.618055555555</v>
      </c>
      <c r="BC729" s="94">
        <v>45578.618055555555</v>
      </c>
      <c r="BD729" s="94">
        <v>45578.79791666667</v>
      </c>
      <c r="BE729" s="95">
        <f t="shared" si="426"/>
        <v>0.18680555556056788</v>
      </c>
      <c r="BF729" s="95">
        <v>2.1527777777777778E-2</v>
      </c>
      <c r="BG729" s="95">
        <v>2.7777777777777776E-2</v>
      </c>
      <c r="BH729" s="95">
        <f t="shared" si="427"/>
        <v>6.9444444452528842E-3</v>
      </c>
      <c r="BI729" s="95">
        <f t="shared" si="427"/>
        <v>0</v>
      </c>
      <c r="BJ729" s="95">
        <f t="shared" si="427"/>
        <v>0.179861111115315</v>
      </c>
      <c r="BK729" s="95">
        <f t="shared" si="428"/>
        <v>0.179861111115315</v>
      </c>
      <c r="BL729" s="95">
        <f t="shared" si="429"/>
        <v>0.13055555555975945</v>
      </c>
      <c r="BM729" s="95" t="str">
        <f t="shared" si="430"/>
        <v>00:00</v>
      </c>
      <c r="BN729" s="110"/>
    </row>
    <row r="730" spans="1:66" s="8" customFormat="1" ht="12.75" customHeight="1" x14ac:dyDescent="0.25">
      <c r="A730" s="115">
        <v>664</v>
      </c>
      <c r="B730" s="115">
        <v>37</v>
      </c>
      <c r="C730" s="90">
        <v>8</v>
      </c>
      <c r="D730" s="115" t="s">
        <v>113</v>
      </c>
      <c r="E730" s="210" t="s">
        <v>863</v>
      </c>
      <c r="F730" s="115" t="s">
        <v>32</v>
      </c>
      <c r="G730" s="150" t="s">
        <v>8</v>
      </c>
      <c r="H730" s="115" t="s">
        <v>135</v>
      </c>
      <c r="I730" s="115" t="s">
        <v>169</v>
      </c>
      <c r="J730" s="117">
        <v>45579</v>
      </c>
      <c r="K730" s="116" t="s">
        <v>122</v>
      </c>
      <c r="L730" s="116">
        <v>261006056</v>
      </c>
      <c r="M730" s="117">
        <v>45580</v>
      </c>
      <c r="N730" s="118">
        <v>45579.559027777781</v>
      </c>
      <c r="O730" s="118">
        <v>45579.559027777781</v>
      </c>
      <c r="P730" s="118">
        <v>45579.5625</v>
      </c>
      <c r="Q730" s="118">
        <v>45579.767361111109</v>
      </c>
      <c r="R730" s="118" t="s">
        <v>118</v>
      </c>
      <c r="S730" s="118">
        <v>45579.833333333336</v>
      </c>
      <c r="T730" s="118">
        <v>45579.84375</v>
      </c>
      <c r="U730" s="118">
        <v>45580.027777777781</v>
      </c>
      <c r="V730" s="119">
        <f t="shared" si="422"/>
        <v>0.20833333332848269</v>
      </c>
      <c r="W730" s="185">
        <v>0.20833333333333334</v>
      </c>
      <c r="X730" s="119" t="str">
        <f t="shared" si="423"/>
        <v>00:00</v>
      </c>
      <c r="Y730" s="96">
        <v>0</v>
      </c>
      <c r="Z730" s="96">
        <v>10</v>
      </c>
      <c r="AA730" s="96">
        <f t="shared" si="432"/>
        <v>10</v>
      </c>
      <c r="AB730" s="97">
        <f t="shared" si="433"/>
        <v>0</v>
      </c>
      <c r="AC730" s="97">
        <f t="shared" si="434"/>
        <v>676.54999999999973</v>
      </c>
      <c r="AD730" s="98">
        <f>4086.33-3409.78</f>
        <v>676.54999999999973</v>
      </c>
      <c r="AE730" s="98">
        <f>4092.1-3402.1</f>
        <v>690</v>
      </c>
      <c r="AF730" s="98">
        <f>4125.4-3435</f>
        <v>690.39999999999964</v>
      </c>
      <c r="AG730" s="98">
        <f t="shared" si="435"/>
        <v>13.849999999999909</v>
      </c>
      <c r="AH730" s="99">
        <v>797.2</v>
      </c>
      <c r="AI730" s="100">
        <f t="shared" si="436"/>
        <v>550386.87999999977</v>
      </c>
      <c r="AJ730" s="100">
        <f t="shared" si="437"/>
        <v>0</v>
      </c>
      <c r="AK730" s="100">
        <v>0</v>
      </c>
      <c r="AL730" s="100">
        <f>15440+8850</f>
        <v>24290</v>
      </c>
      <c r="AM730" s="100">
        <v>0</v>
      </c>
      <c r="AN730" s="100">
        <v>0</v>
      </c>
      <c r="AO730" s="100">
        <v>0</v>
      </c>
      <c r="AP730" s="100">
        <f>ROUNDUP(SUM(AI730:AO730)*5%,0)-1</f>
        <v>28733</v>
      </c>
      <c r="AQ730" s="101">
        <f t="shared" si="431"/>
        <v>603410</v>
      </c>
      <c r="AR730" s="101">
        <v>0</v>
      </c>
      <c r="AS730" s="101">
        <v>0</v>
      </c>
      <c r="AT730" s="137" t="s">
        <v>33</v>
      </c>
      <c r="AU730" s="260">
        <v>23</v>
      </c>
      <c r="AV730" s="121">
        <f>55.58-28.58</f>
        <v>27</v>
      </c>
      <c r="AW730" s="105">
        <v>2</v>
      </c>
      <c r="AX730" s="140">
        <f>IFERROR(((AG730+AG731)/(AF730+AF731))*100, "")</f>
        <v>0.94705967906141741</v>
      </c>
      <c r="AY730" s="141">
        <f>ROUNDUP((AG730+AG731)*AH730,0)</f>
        <v>31147</v>
      </c>
      <c r="AZ730" s="107"/>
      <c r="BA730" s="118">
        <v>45579.559027777781</v>
      </c>
      <c r="BB730" s="118">
        <v>45579.5625</v>
      </c>
      <c r="BC730" s="118">
        <v>45579.5625</v>
      </c>
      <c r="BD730" s="118">
        <v>45579.830555555556</v>
      </c>
      <c r="BE730" s="119">
        <f t="shared" si="426"/>
        <v>0.27152777777519077</v>
      </c>
      <c r="BF730" s="172">
        <v>4.791666666666667E-2</v>
      </c>
      <c r="BG730" s="172">
        <v>4.0972222222222222E-2</v>
      </c>
      <c r="BH730" s="119">
        <f t="shared" si="427"/>
        <v>3.4722222189884633E-3</v>
      </c>
      <c r="BI730" s="119">
        <f t="shared" si="427"/>
        <v>0</v>
      </c>
      <c r="BJ730" s="119">
        <f t="shared" si="427"/>
        <v>0.26805555555620231</v>
      </c>
      <c r="BK730" s="119">
        <f t="shared" si="428"/>
        <v>0.26805555555620231</v>
      </c>
      <c r="BL730" s="119">
        <f t="shared" si="429"/>
        <v>0.17916666666731343</v>
      </c>
      <c r="BM730" s="119">
        <f t="shared" si="430"/>
        <v>6.3194444441857428E-2</v>
      </c>
      <c r="BN730" s="110" t="s">
        <v>922</v>
      </c>
    </row>
    <row r="731" spans="1:66" s="8" customFormat="1" ht="12.75" customHeight="1" x14ac:dyDescent="0.25">
      <c r="A731" s="122"/>
      <c r="B731" s="122"/>
      <c r="C731" s="90">
        <v>10</v>
      </c>
      <c r="D731" s="122"/>
      <c r="E731" s="210" t="s">
        <v>909</v>
      </c>
      <c r="F731" s="122"/>
      <c r="G731" s="150" t="s">
        <v>15</v>
      </c>
      <c r="H731" s="122"/>
      <c r="I731" s="122"/>
      <c r="J731" s="124"/>
      <c r="K731" s="123"/>
      <c r="L731" s="123"/>
      <c r="M731" s="124"/>
      <c r="N731" s="125"/>
      <c r="O731" s="125"/>
      <c r="P731" s="125"/>
      <c r="Q731" s="125"/>
      <c r="R731" s="125"/>
      <c r="S731" s="125"/>
      <c r="T731" s="125"/>
      <c r="U731" s="125"/>
      <c r="V731" s="126"/>
      <c r="W731" s="189"/>
      <c r="X731" s="126"/>
      <c r="Y731" s="96">
        <v>1</v>
      </c>
      <c r="Z731" s="96">
        <v>48</v>
      </c>
      <c r="AA731" s="96">
        <f t="shared" si="432"/>
        <v>49</v>
      </c>
      <c r="AB731" s="97">
        <f t="shared" si="433"/>
        <v>69.587346938775511</v>
      </c>
      <c r="AC731" s="97">
        <f t="shared" si="434"/>
        <v>3340.1926530612245</v>
      </c>
      <c r="AD731" s="98">
        <v>3409.78</v>
      </c>
      <c r="AE731" s="98">
        <v>3402.1</v>
      </c>
      <c r="AF731" s="98">
        <v>3435</v>
      </c>
      <c r="AG731" s="98">
        <f t="shared" si="435"/>
        <v>25.2199999999998</v>
      </c>
      <c r="AH731" s="99">
        <v>797.2</v>
      </c>
      <c r="AI731" s="100">
        <f t="shared" si="436"/>
        <v>2738382</v>
      </c>
      <c r="AJ731" s="100">
        <f t="shared" si="437"/>
        <v>0</v>
      </c>
      <c r="AK731" s="100">
        <v>0</v>
      </c>
      <c r="AL731" s="100">
        <v>0</v>
      </c>
      <c r="AM731" s="100">
        <v>0</v>
      </c>
      <c r="AN731" s="100">
        <v>0</v>
      </c>
      <c r="AO731" s="100">
        <v>0</v>
      </c>
      <c r="AP731" s="100">
        <f t="shared" ref="AP731:AP762" si="438">ROUNDUP(SUM(AI731:AO731)*5%,0)</f>
        <v>136920</v>
      </c>
      <c r="AQ731" s="101">
        <f t="shared" si="431"/>
        <v>2875302</v>
      </c>
      <c r="AR731" s="101">
        <v>0</v>
      </c>
      <c r="AS731" s="101">
        <v>0</v>
      </c>
      <c r="AT731" s="138"/>
      <c r="AU731" s="261"/>
      <c r="AV731" s="128"/>
      <c r="AW731" s="105">
        <v>0</v>
      </c>
      <c r="AX731" s="144"/>
      <c r="AY731" s="145"/>
      <c r="AZ731" s="107"/>
      <c r="BA731" s="125"/>
      <c r="BB731" s="125"/>
      <c r="BC731" s="125"/>
      <c r="BD731" s="125"/>
      <c r="BE731" s="126"/>
      <c r="BF731" s="125"/>
      <c r="BG731" s="125"/>
      <c r="BH731" s="126"/>
      <c r="BI731" s="126"/>
      <c r="BJ731" s="126"/>
      <c r="BK731" s="126"/>
      <c r="BL731" s="126"/>
      <c r="BM731" s="126"/>
      <c r="BN731" s="110" t="s">
        <v>923</v>
      </c>
    </row>
    <row r="732" spans="1:66" s="8" customFormat="1" ht="12.75" customHeight="1" x14ac:dyDescent="0.25">
      <c r="A732" s="150">
        <v>665</v>
      </c>
      <c r="B732" s="150">
        <v>38</v>
      </c>
      <c r="C732" s="90">
        <v>5</v>
      </c>
      <c r="D732" s="111" t="s">
        <v>113</v>
      </c>
      <c r="E732" s="210" t="s">
        <v>849</v>
      </c>
      <c r="F732" s="150" t="s">
        <v>41</v>
      </c>
      <c r="G732" s="150" t="s">
        <v>12</v>
      </c>
      <c r="H732" s="150" t="s">
        <v>115</v>
      </c>
      <c r="I732" s="150" t="s">
        <v>924</v>
      </c>
      <c r="J732" s="151">
        <v>45579</v>
      </c>
      <c r="K732" s="135" t="s">
        <v>117</v>
      </c>
      <c r="L732" s="135">
        <v>282001035</v>
      </c>
      <c r="M732" s="151">
        <v>45580</v>
      </c>
      <c r="N732" s="152">
        <v>45579.78125</v>
      </c>
      <c r="O732" s="152">
        <v>45579.78125</v>
      </c>
      <c r="P732" s="152">
        <v>45579.791666666664</v>
      </c>
      <c r="Q732" s="152">
        <v>45579.989583333336</v>
      </c>
      <c r="R732" s="152" t="s">
        <v>118</v>
      </c>
      <c r="S732" s="152">
        <v>45580.020833333336</v>
      </c>
      <c r="T732" s="152">
        <v>45580.041666666664</v>
      </c>
      <c r="U732" s="152">
        <v>45580.215277777781</v>
      </c>
      <c r="V732" s="219">
        <f t="shared" ref="V732:V748" si="439">+Q732-O732</f>
        <v>0.20833333333575865</v>
      </c>
      <c r="W732" s="203">
        <v>0.20833333333333334</v>
      </c>
      <c r="X732" s="219">
        <f t="shared" ref="X732:X748" si="440">IF(VALUE(V732)&lt;=VALUE("05:00"),"00:00",VALUE(V732)-VALUE("05:00"))</f>
        <v>2.4253099528692701E-12</v>
      </c>
      <c r="Y732" s="96">
        <v>0</v>
      </c>
      <c r="Z732" s="96">
        <v>58</v>
      </c>
      <c r="AA732" s="96">
        <f t="shared" si="432"/>
        <v>58</v>
      </c>
      <c r="AB732" s="97">
        <f t="shared" si="433"/>
        <v>0</v>
      </c>
      <c r="AC732" s="97">
        <f t="shared" si="434"/>
        <v>4042.67</v>
      </c>
      <c r="AD732" s="98">
        <v>4042.67</v>
      </c>
      <c r="AE732" s="98">
        <v>4027.3</v>
      </c>
      <c r="AF732" s="98">
        <v>4061.8</v>
      </c>
      <c r="AG732" s="98">
        <f t="shared" si="435"/>
        <v>19.130000000000109</v>
      </c>
      <c r="AH732" s="99">
        <v>1586.7</v>
      </c>
      <c r="AI732" s="100">
        <f t="shared" si="436"/>
        <v>6444858.0600000005</v>
      </c>
      <c r="AJ732" s="100">
        <f t="shared" si="437"/>
        <v>0</v>
      </c>
      <c r="AK732" s="100">
        <v>0</v>
      </c>
      <c r="AL732" s="100">
        <v>24140</v>
      </c>
      <c r="AM732" s="100">
        <v>0</v>
      </c>
      <c r="AN732" s="100">
        <v>0</v>
      </c>
      <c r="AO732" s="100">
        <f>IFERROR(AF732*20+(((AJ732/AH732)/2)*20),0)</f>
        <v>81236</v>
      </c>
      <c r="AP732" s="100">
        <f t="shared" si="438"/>
        <v>327512</v>
      </c>
      <c r="AQ732" s="101">
        <f t="shared" si="431"/>
        <v>6877747</v>
      </c>
      <c r="AR732" s="101">
        <v>0</v>
      </c>
      <c r="AS732" s="101">
        <v>0</v>
      </c>
      <c r="AT732" s="102" t="s">
        <v>34</v>
      </c>
      <c r="AU732" s="109">
        <v>23</v>
      </c>
      <c r="AV732" s="100">
        <f>51.78-29.28</f>
        <v>22.5</v>
      </c>
      <c r="AW732" s="105">
        <v>1</v>
      </c>
      <c r="AX732" s="216">
        <f t="shared" ref="AX732:AX747" si="441">IFERROR((AG732/AF732)*100, "")</f>
        <v>0.47097346004234847</v>
      </c>
      <c r="AY732" s="217">
        <f t="shared" ref="AY732:AY747" si="442">ROUNDUP(AG732*AH732,0)</f>
        <v>30354</v>
      </c>
      <c r="AZ732" s="107"/>
      <c r="BA732" s="94">
        <v>45579.78125</v>
      </c>
      <c r="BB732" s="94">
        <v>45579.791666666664</v>
      </c>
      <c r="BC732" s="94">
        <v>45579.870138888888</v>
      </c>
      <c r="BD732" s="94">
        <v>45580.012499999997</v>
      </c>
      <c r="BE732" s="95">
        <f t="shared" ref="BE732:BE748" si="443">+BD732-BA732</f>
        <v>0.23124999999708962</v>
      </c>
      <c r="BF732" s="95">
        <v>8.3333333333333332E-3</v>
      </c>
      <c r="BG732" s="95">
        <v>7.013888888888889E-2</v>
      </c>
      <c r="BH732" s="95">
        <f t="shared" ref="BH732:BJ748" si="444">+BB732-BA732</f>
        <v>1.0416666664241347E-2</v>
      </c>
      <c r="BI732" s="95">
        <f t="shared" si="444"/>
        <v>7.8472222223354038E-2</v>
      </c>
      <c r="BJ732" s="95">
        <f t="shared" si="444"/>
        <v>0.14236111110949423</v>
      </c>
      <c r="BK732" s="95">
        <f t="shared" ref="BK732:BK748" si="445">+BI732+BJ732</f>
        <v>0.22083333333284827</v>
      </c>
      <c r="BL732" s="95">
        <f t="shared" ref="BL732:BL748" si="446">+BE732-BH732-BF732-BG732</f>
        <v>0.14236111111062605</v>
      </c>
      <c r="BM732" s="95">
        <f t="shared" ref="BM732:BM748" si="447">IF(VALUE(BE732)&lt;=VALUE("05:00"),"00:00",VALUE(BE732)-VALUE("05:00"))</f>
        <v>2.2916666663756274E-2</v>
      </c>
      <c r="BN732" s="110"/>
    </row>
    <row r="733" spans="1:66" s="8" customFormat="1" ht="12.75" customHeight="1" x14ac:dyDescent="0.25">
      <c r="A733" s="150">
        <v>666</v>
      </c>
      <c r="B733" s="150">
        <v>39</v>
      </c>
      <c r="C733" s="90">
        <v>11</v>
      </c>
      <c r="D733" s="111" t="s">
        <v>113</v>
      </c>
      <c r="E733" s="210" t="s">
        <v>863</v>
      </c>
      <c r="F733" s="150" t="s">
        <v>32</v>
      </c>
      <c r="G733" s="150" t="s">
        <v>8</v>
      </c>
      <c r="H733" s="150" t="s">
        <v>120</v>
      </c>
      <c r="I733" s="150" t="s">
        <v>174</v>
      </c>
      <c r="J733" s="151">
        <v>45580</v>
      </c>
      <c r="K733" s="135" t="s">
        <v>122</v>
      </c>
      <c r="L733" s="135">
        <v>261006061</v>
      </c>
      <c r="M733" s="151">
        <v>45580</v>
      </c>
      <c r="N733" s="152">
        <v>45580.09375</v>
      </c>
      <c r="O733" s="152">
        <v>45580.09375</v>
      </c>
      <c r="P733" s="152">
        <v>45580.100694444445</v>
      </c>
      <c r="Q733" s="152">
        <v>45580.291666666664</v>
      </c>
      <c r="R733" s="152" t="s">
        <v>118</v>
      </c>
      <c r="S733" s="152" t="s">
        <v>118</v>
      </c>
      <c r="T733" s="152">
        <v>45580.354166666664</v>
      </c>
      <c r="U733" s="152">
        <v>45580.454861111109</v>
      </c>
      <c r="V733" s="219">
        <f t="shared" si="439"/>
        <v>0.19791666666424135</v>
      </c>
      <c r="W733" s="203">
        <v>0.20833333333333334</v>
      </c>
      <c r="X733" s="219" t="str">
        <f t="shared" si="440"/>
        <v>00:00</v>
      </c>
      <c r="Y733" s="96">
        <v>0</v>
      </c>
      <c r="Z733" s="96">
        <v>57</v>
      </c>
      <c r="AA733" s="96">
        <f t="shared" si="432"/>
        <v>57</v>
      </c>
      <c r="AB733" s="97">
        <f t="shared" si="433"/>
        <v>0</v>
      </c>
      <c r="AC733" s="97">
        <f t="shared" si="434"/>
        <v>3881.5899999999997</v>
      </c>
      <c r="AD733" s="98">
        <v>3881.59</v>
      </c>
      <c r="AE733" s="98">
        <v>3967.8</v>
      </c>
      <c r="AF733" s="98">
        <v>3970.6</v>
      </c>
      <c r="AG733" s="98">
        <f t="shared" si="435"/>
        <v>89.009999999999764</v>
      </c>
      <c r="AH733" s="99">
        <v>1398.7</v>
      </c>
      <c r="AI733" s="100">
        <f t="shared" si="436"/>
        <v>5553678.2199999997</v>
      </c>
      <c r="AJ733" s="100">
        <f t="shared" si="437"/>
        <v>0</v>
      </c>
      <c r="AK733" s="100">
        <v>0</v>
      </c>
      <c r="AL733" s="100">
        <v>23990</v>
      </c>
      <c r="AM733" s="100">
        <v>0</v>
      </c>
      <c r="AN733" s="100">
        <v>0</v>
      </c>
      <c r="AO733" s="100">
        <v>0</v>
      </c>
      <c r="AP733" s="100">
        <f t="shared" si="438"/>
        <v>278884</v>
      </c>
      <c r="AQ733" s="101">
        <f t="shared" si="431"/>
        <v>5856553</v>
      </c>
      <c r="AR733" s="101">
        <v>0</v>
      </c>
      <c r="AS733" s="101">
        <v>0</v>
      </c>
      <c r="AT733" s="102" t="s">
        <v>34</v>
      </c>
      <c r="AU733" s="109">
        <v>1</v>
      </c>
      <c r="AV733" s="100">
        <f>3.6-2.6</f>
        <v>1</v>
      </c>
      <c r="AW733" s="105">
        <v>0</v>
      </c>
      <c r="AX733" s="216">
        <f t="shared" si="441"/>
        <v>2.2417266911801685</v>
      </c>
      <c r="AY733" s="217">
        <f t="shared" si="442"/>
        <v>124499</v>
      </c>
      <c r="AZ733" s="107"/>
      <c r="BA733" s="94">
        <v>45580.09375</v>
      </c>
      <c r="BB733" s="94">
        <v>45580.100694444445</v>
      </c>
      <c r="BC733" s="94">
        <v>45580.100694444445</v>
      </c>
      <c r="BD733" s="94">
        <v>45580.255555555559</v>
      </c>
      <c r="BE733" s="95">
        <f t="shared" si="443"/>
        <v>0.16180555555911269</v>
      </c>
      <c r="BF733" s="95">
        <v>0</v>
      </c>
      <c r="BG733" s="95">
        <v>0</v>
      </c>
      <c r="BH733" s="95">
        <f t="shared" si="444"/>
        <v>6.9444444452528842E-3</v>
      </c>
      <c r="BI733" s="95">
        <f t="shared" si="444"/>
        <v>0</v>
      </c>
      <c r="BJ733" s="95">
        <f t="shared" si="444"/>
        <v>0.15486111111385981</v>
      </c>
      <c r="BK733" s="95">
        <f t="shared" si="445"/>
        <v>0.15486111111385981</v>
      </c>
      <c r="BL733" s="95">
        <f t="shared" si="446"/>
        <v>0.15486111111385981</v>
      </c>
      <c r="BM733" s="95" t="str">
        <f t="shared" si="447"/>
        <v>00:00</v>
      </c>
      <c r="BN733" s="110"/>
    </row>
    <row r="734" spans="1:66" s="8" customFormat="1" ht="12.75" customHeight="1" x14ac:dyDescent="0.25">
      <c r="A734" s="150">
        <v>667</v>
      </c>
      <c r="B734" s="150">
        <v>40</v>
      </c>
      <c r="C734" s="90">
        <v>19</v>
      </c>
      <c r="D734" s="111" t="s">
        <v>148</v>
      </c>
      <c r="E734" s="210" t="s">
        <v>904</v>
      </c>
      <c r="F734" s="150" t="s">
        <v>16</v>
      </c>
      <c r="G734" s="150" t="s">
        <v>17</v>
      </c>
      <c r="H734" s="150" t="s">
        <v>150</v>
      </c>
      <c r="I734" s="150" t="s">
        <v>186</v>
      </c>
      <c r="J734" s="151">
        <v>45580</v>
      </c>
      <c r="K734" s="135" t="s">
        <v>117</v>
      </c>
      <c r="L734" s="96">
        <v>461000511</v>
      </c>
      <c r="M734" s="151">
        <v>45580</v>
      </c>
      <c r="N734" s="152">
        <v>45580.347222222219</v>
      </c>
      <c r="O734" s="152">
        <v>45580.347222222219</v>
      </c>
      <c r="P734" s="152">
        <v>45580.354166666664</v>
      </c>
      <c r="Q734" s="152">
        <v>45580.555555555555</v>
      </c>
      <c r="R734" s="152" t="s">
        <v>118</v>
      </c>
      <c r="S734" s="152">
        <v>45580.583333333336</v>
      </c>
      <c r="T734" s="152">
        <v>45580.604166666664</v>
      </c>
      <c r="U734" s="152">
        <v>45580.722222222219</v>
      </c>
      <c r="V734" s="219">
        <f t="shared" si="439"/>
        <v>0.20833333333575865</v>
      </c>
      <c r="W734" s="203">
        <v>0.20833333333333334</v>
      </c>
      <c r="X734" s="219">
        <f t="shared" si="440"/>
        <v>2.4253099528692701E-12</v>
      </c>
      <c r="Y734" s="96">
        <v>26</v>
      </c>
      <c r="Z734" s="96">
        <v>33</v>
      </c>
      <c r="AA734" s="96">
        <f t="shared" si="432"/>
        <v>59</v>
      </c>
      <c r="AB734" s="97">
        <f t="shared" si="433"/>
        <v>1766.5854237288133</v>
      </c>
      <c r="AC734" s="97">
        <f t="shared" si="434"/>
        <v>2242.2045762711864</v>
      </c>
      <c r="AD734" s="98">
        <v>4008.79</v>
      </c>
      <c r="AE734" s="98">
        <v>4097.8999999999996</v>
      </c>
      <c r="AF734" s="98">
        <v>4118.2</v>
      </c>
      <c r="AG734" s="98">
        <f t="shared" si="435"/>
        <v>109.40999999999985</v>
      </c>
      <c r="AH734" s="99">
        <v>672.5</v>
      </c>
      <c r="AI734" s="100">
        <f t="shared" si="436"/>
        <v>2769489.5</v>
      </c>
      <c r="AJ734" s="100">
        <f t="shared" si="437"/>
        <v>0</v>
      </c>
      <c r="AK734" s="100">
        <v>0</v>
      </c>
      <c r="AL734" s="100">
        <v>24290</v>
      </c>
      <c r="AM734" s="100">
        <v>0</v>
      </c>
      <c r="AN734" s="100">
        <v>0</v>
      </c>
      <c r="AO734" s="100">
        <v>0</v>
      </c>
      <c r="AP734" s="100">
        <f t="shared" si="438"/>
        <v>139689</v>
      </c>
      <c r="AQ734" s="101">
        <f t="shared" si="431"/>
        <v>2933469</v>
      </c>
      <c r="AR734" s="101">
        <v>0</v>
      </c>
      <c r="AS734" s="101">
        <v>0</v>
      </c>
      <c r="AT734" s="102" t="s">
        <v>33</v>
      </c>
      <c r="AU734" s="109">
        <v>18</v>
      </c>
      <c r="AV734" s="100">
        <f>65.77-16.27</f>
        <v>49.5</v>
      </c>
      <c r="AW734" s="105">
        <v>1</v>
      </c>
      <c r="AX734" s="216">
        <f t="shared" si="441"/>
        <v>2.656743237336697</v>
      </c>
      <c r="AY734" s="217">
        <f t="shared" si="442"/>
        <v>73579</v>
      </c>
      <c r="AZ734" s="107"/>
      <c r="BA734" s="94">
        <v>45580.347222222219</v>
      </c>
      <c r="BB734" s="94">
        <v>45580.354166666664</v>
      </c>
      <c r="BC734" s="94">
        <v>45580.378472222219</v>
      </c>
      <c r="BD734" s="94">
        <v>45580.566666666666</v>
      </c>
      <c r="BE734" s="95">
        <f t="shared" si="443"/>
        <v>0.21944444444670808</v>
      </c>
      <c r="BF734" s="95">
        <v>4.9305555555555554E-2</v>
      </c>
      <c r="BG734" s="95">
        <v>4.0972222222222222E-2</v>
      </c>
      <c r="BH734" s="95">
        <f t="shared" si="444"/>
        <v>6.9444444452528842E-3</v>
      </c>
      <c r="BI734" s="95">
        <f t="shared" si="444"/>
        <v>2.4305555554747116E-2</v>
      </c>
      <c r="BJ734" s="95">
        <f t="shared" si="444"/>
        <v>0.18819444444670808</v>
      </c>
      <c r="BK734" s="95">
        <f t="shared" si="445"/>
        <v>0.21250000000145519</v>
      </c>
      <c r="BL734" s="95">
        <f t="shared" si="446"/>
        <v>0.12222222222367743</v>
      </c>
      <c r="BM734" s="95">
        <f t="shared" si="447"/>
        <v>1.1111111113374733E-2</v>
      </c>
      <c r="BN734" s="110"/>
    </row>
    <row r="735" spans="1:66" s="8" customFormat="1" ht="12.75" customHeight="1" x14ac:dyDescent="0.25">
      <c r="A735" s="150">
        <v>668</v>
      </c>
      <c r="B735" s="150">
        <v>41</v>
      </c>
      <c r="C735" s="90">
        <v>6</v>
      </c>
      <c r="D735" s="111" t="s">
        <v>113</v>
      </c>
      <c r="E735" s="210" t="s">
        <v>849</v>
      </c>
      <c r="F735" s="150" t="s">
        <v>41</v>
      </c>
      <c r="G735" s="150" t="s">
        <v>12</v>
      </c>
      <c r="H735" s="150" t="s">
        <v>115</v>
      </c>
      <c r="I735" s="150" t="s">
        <v>179</v>
      </c>
      <c r="J735" s="151">
        <v>45580</v>
      </c>
      <c r="K735" s="135" t="s">
        <v>117</v>
      </c>
      <c r="L735" s="135">
        <v>282001036</v>
      </c>
      <c r="M735" s="151">
        <v>45581</v>
      </c>
      <c r="N735" s="152">
        <v>45580.784722222219</v>
      </c>
      <c r="O735" s="152">
        <v>45580.784722222219</v>
      </c>
      <c r="P735" s="152">
        <v>45945.788194444445</v>
      </c>
      <c r="Q735" s="152">
        <v>45580.958333333336</v>
      </c>
      <c r="R735" s="152" t="s">
        <v>118</v>
      </c>
      <c r="S735" s="152" t="s">
        <v>118</v>
      </c>
      <c r="T735" s="152">
        <v>45581.041666666664</v>
      </c>
      <c r="U735" s="152">
        <v>45581.225694444445</v>
      </c>
      <c r="V735" s="219">
        <f t="shared" si="439"/>
        <v>0.17361111111677019</v>
      </c>
      <c r="W735" s="203">
        <v>0.20833333333333334</v>
      </c>
      <c r="X735" s="219" t="str">
        <f t="shared" si="440"/>
        <v>00:00</v>
      </c>
      <c r="Y735" s="96">
        <v>0</v>
      </c>
      <c r="Z735" s="96">
        <v>58</v>
      </c>
      <c r="AA735" s="96">
        <f t="shared" si="432"/>
        <v>58</v>
      </c>
      <c r="AB735" s="97">
        <f t="shared" si="433"/>
        <v>0</v>
      </c>
      <c r="AC735" s="97">
        <f t="shared" si="434"/>
        <v>4042.8500000000004</v>
      </c>
      <c r="AD735" s="98">
        <v>4042.85</v>
      </c>
      <c r="AE735" s="98">
        <v>4041.8</v>
      </c>
      <c r="AF735" s="98">
        <v>4064.4</v>
      </c>
      <c r="AG735" s="98">
        <f t="shared" si="435"/>
        <v>21.550000000000182</v>
      </c>
      <c r="AH735" s="99">
        <v>1586.7</v>
      </c>
      <c r="AI735" s="100">
        <f t="shared" si="436"/>
        <v>6448983.4800000004</v>
      </c>
      <c r="AJ735" s="100">
        <f t="shared" si="437"/>
        <v>0</v>
      </c>
      <c r="AK735" s="100">
        <v>0</v>
      </c>
      <c r="AL735" s="100">
        <v>24140</v>
      </c>
      <c r="AM735" s="100">
        <v>0</v>
      </c>
      <c r="AN735" s="100">
        <v>0</v>
      </c>
      <c r="AO735" s="100">
        <f>IFERROR(AF735*20+(((AJ735/AH735)/2)*20),0)</f>
        <v>81288</v>
      </c>
      <c r="AP735" s="100">
        <f t="shared" si="438"/>
        <v>327721</v>
      </c>
      <c r="AQ735" s="101">
        <f t="shared" si="431"/>
        <v>6882133</v>
      </c>
      <c r="AR735" s="101">
        <v>0</v>
      </c>
      <c r="AS735" s="101">
        <v>0</v>
      </c>
      <c r="AT735" s="102" t="s">
        <v>33</v>
      </c>
      <c r="AU735" s="109">
        <v>12</v>
      </c>
      <c r="AV735" s="100">
        <f>31.07-19.07</f>
        <v>12</v>
      </c>
      <c r="AW735" s="105">
        <v>0</v>
      </c>
      <c r="AX735" s="216">
        <f t="shared" si="441"/>
        <v>0.5302135616573217</v>
      </c>
      <c r="AY735" s="217">
        <f t="shared" si="442"/>
        <v>34194</v>
      </c>
      <c r="AZ735" s="107"/>
      <c r="BA735" s="94">
        <v>45580.777777777781</v>
      </c>
      <c r="BB735" s="94">
        <v>45580.78125</v>
      </c>
      <c r="BC735" s="94">
        <v>45580.78125</v>
      </c>
      <c r="BD735" s="94">
        <v>45580.922222222223</v>
      </c>
      <c r="BE735" s="95">
        <f t="shared" si="443"/>
        <v>0.1444444444423425</v>
      </c>
      <c r="BF735" s="95">
        <v>0</v>
      </c>
      <c r="BG735" s="95">
        <v>0</v>
      </c>
      <c r="BH735" s="95">
        <f t="shared" si="444"/>
        <v>3.4722222189884633E-3</v>
      </c>
      <c r="BI735" s="95">
        <f t="shared" si="444"/>
        <v>0</v>
      </c>
      <c r="BJ735" s="95">
        <f t="shared" si="444"/>
        <v>0.14097222222335404</v>
      </c>
      <c r="BK735" s="95">
        <f t="shared" si="445"/>
        <v>0.14097222222335404</v>
      </c>
      <c r="BL735" s="95">
        <f t="shared" si="446"/>
        <v>0.14097222222335404</v>
      </c>
      <c r="BM735" s="95" t="str">
        <f t="shared" si="447"/>
        <v>00:00</v>
      </c>
      <c r="BN735" s="110"/>
    </row>
    <row r="736" spans="1:66" s="8" customFormat="1" ht="12.75" customHeight="1" x14ac:dyDescent="0.25">
      <c r="A736" s="150">
        <v>669</v>
      </c>
      <c r="B736" s="150">
        <v>42</v>
      </c>
      <c r="C736" s="90">
        <v>20</v>
      </c>
      <c r="D736" s="111" t="s">
        <v>148</v>
      </c>
      <c r="E736" s="210" t="s">
        <v>904</v>
      </c>
      <c r="F736" s="150" t="s">
        <v>16</v>
      </c>
      <c r="G736" s="150" t="s">
        <v>17</v>
      </c>
      <c r="H736" s="150" t="s">
        <v>150</v>
      </c>
      <c r="I736" s="150" t="s">
        <v>207</v>
      </c>
      <c r="J736" s="151">
        <v>45581</v>
      </c>
      <c r="K736" s="135" t="s">
        <v>122</v>
      </c>
      <c r="L736" s="135">
        <v>461000512</v>
      </c>
      <c r="M736" s="151">
        <v>45581</v>
      </c>
      <c r="N736" s="152">
        <v>45581.229166666664</v>
      </c>
      <c r="O736" s="152">
        <v>45581.229166666664</v>
      </c>
      <c r="P736" s="152">
        <v>45581.243055555555</v>
      </c>
      <c r="Q736" s="152">
        <v>45581.4375</v>
      </c>
      <c r="R736" s="152" t="s">
        <v>118</v>
      </c>
      <c r="S736" s="152" t="s">
        <v>118</v>
      </c>
      <c r="T736" s="152">
        <v>45581.625</v>
      </c>
      <c r="U736" s="152">
        <v>45581.788194444445</v>
      </c>
      <c r="V736" s="219">
        <f t="shared" si="439"/>
        <v>0.20833333333575865</v>
      </c>
      <c r="W736" s="203">
        <v>0.20833333333333334</v>
      </c>
      <c r="X736" s="219">
        <f t="shared" si="440"/>
        <v>2.4253099528692701E-12</v>
      </c>
      <c r="Y736" s="96">
        <v>20</v>
      </c>
      <c r="Z736" s="96">
        <v>35</v>
      </c>
      <c r="AA736" s="96">
        <f t="shared" si="432"/>
        <v>55</v>
      </c>
      <c r="AB736" s="97">
        <f t="shared" si="433"/>
        <v>1400.8509090909092</v>
      </c>
      <c r="AC736" s="97">
        <f t="shared" si="434"/>
        <v>2451.4890909090909</v>
      </c>
      <c r="AD736" s="98">
        <v>3852.34</v>
      </c>
      <c r="AE736" s="98">
        <v>3816.5</v>
      </c>
      <c r="AF736" s="98">
        <v>3863.6</v>
      </c>
      <c r="AG736" s="98">
        <f t="shared" si="435"/>
        <v>11.259999999999764</v>
      </c>
      <c r="AH736" s="99">
        <v>672.5</v>
      </c>
      <c r="AI736" s="100">
        <f t="shared" si="436"/>
        <v>2598271</v>
      </c>
      <c r="AJ736" s="100">
        <f t="shared" si="437"/>
        <v>0</v>
      </c>
      <c r="AK736" s="100">
        <v>0</v>
      </c>
      <c r="AL736" s="100">
        <v>47380</v>
      </c>
      <c r="AM736" s="100">
        <v>0</v>
      </c>
      <c r="AN736" s="100">
        <v>0</v>
      </c>
      <c r="AO736" s="100">
        <v>0</v>
      </c>
      <c r="AP736" s="100">
        <f t="shared" si="438"/>
        <v>132283</v>
      </c>
      <c r="AQ736" s="101">
        <f t="shared" si="431"/>
        <v>2777934</v>
      </c>
      <c r="AR736" s="101">
        <v>0</v>
      </c>
      <c r="AS736" s="101">
        <v>0</v>
      </c>
      <c r="AT736" s="102" t="s">
        <v>33</v>
      </c>
      <c r="AU736" s="109">
        <v>43</v>
      </c>
      <c r="AV736" s="100">
        <f>137.27-37.77</f>
        <v>99.5</v>
      </c>
      <c r="AW736" s="105">
        <v>0</v>
      </c>
      <c r="AX736" s="216">
        <f t="shared" si="441"/>
        <v>0.29143803706387211</v>
      </c>
      <c r="AY736" s="217">
        <f t="shared" si="442"/>
        <v>7573</v>
      </c>
      <c r="AZ736" s="107"/>
      <c r="BA736" s="94">
        <v>45581.229166666664</v>
      </c>
      <c r="BB736" s="94">
        <v>45581.243055555555</v>
      </c>
      <c r="BC736" s="94">
        <v>45581.243055555555</v>
      </c>
      <c r="BD736" s="94">
        <v>45581.459027777775</v>
      </c>
      <c r="BE736" s="95">
        <f t="shared" si="443"/>
        <v>0.22986111111094942</v>
      </c>
      <c r="BF736" s="95">
        <v>9.7222222222222224E-3</v>
      </c>
      <c r="BG736" s="95">
        <v>8.0555555555555561E-2</v>
      </c>
      <c r="BH736" s="95">
        <f t="shared" si="444"/>
        <v>1.3888888890505768E-2</v>
      </c>
      <c r="BI736" s="95">
        <f t="shared" si="444"/>
        <v>0</v>
      </c>
      <c r="BJ736" s="95">
        <f t="shared" si="444"/>
        <v>0.21597222222044365</v>
      </c>
      <c r="BK736" s="95">
        <f t="shared" si="445"/>
        <v>0.21597222222044365</v>
      </c>
      <c r="BL736" s="95">
        <f t="shared" si="446"/>
        <v>0.12569444444266586</v>
      </c>
      <c r="BM736" s="95">
        <f t="shared" si="447"/>
        <v>2.1527777777616081E-2</v>
      </c>
      <c r="BN736" s="110"/>
    </row>
    <row r="737" spans="1:66" s="8" customFormat="1" ht="12.75" customHeight="1" x14ac:dyDescent="0.25">
      <c r="A737" s="150">
        <v>670</v>
      </c>
      <c r="B737" s="150">
        <v>43</v>
      </c>
      <c r="C737" s="90">
        <v>7</v>
      </c>
      <c r="D737" s="111" t="s">
        <v>113</v>
      </c>
      <c r="E737" s="210" t="s">
        <v>849</v>
      </c>
      <c r="F737" s="150" t="s">
        <v>41</v>
      </c>
      <c r="G737" s="150" t="s">
        <v>12</v>
      </c>
      <c r="H737" s="150" t="s">
        <v>115</v>
      </c>
      <c r="I737" s="150" t="s">
        <v>202</v>
      </c>
      <c r="J737" s="151">
        <v>45584</v>
      </c>
      <c r="K737" s="135" t="s">
        <v>117</v>
      </c>
      <c r="L737" s="135">
        <v>282001037</v>
      </c>
      <c r="M737" s="151">
        <v>45585</v>
      </c>
      <c r="N737" s="152">
        <v>45584.534722222219</v>
      </c>
      <c r="O737" s="152">
        <v>45584.534722222219</v>
      </c>
      <c r="P737" s="152">
        <v>45584.538194444445</v>
      </c>
      <c r="Q737" s="152">
        <v>45584.743055555555</v>
      </c>
      <c r="R737" s="152" t="s">
        <v>118</v>
      </c>
      <c r="S737" s="152" t="s">
        <v>118</v>
      </c>
      <c r="T737" s="152">
        <v>45584.791666666664</v>
      </c>
      <c r="U737" s="152">
        <v>45584.866666666669</v>
      </c>
      <c r="V737" s="219">
        <f t="shared" si="439"/>
        <v>0.20833333333575865</v>
      </c>
      <c r="W737" s="203">
        <v>0.20833333333333334</v>
      </c>
      <c r="X737" s="219">
        <f t="shared" si="440"/>
        <v>2.4253099528692701E-12</v>
      </c>
      <c r="Y737" s="96">
        <v>0</v>
      </c>
      <c r="Z737" s="96">
        <v>58</v>
      </c>
      <c r="AA737" s="96">
        <f t="shared" si="432"/>
        <v>58</v>
      </c>
      <c r="AB737" s="97">
        <f t="shared" si="433"/>
        <v>0</v>
      </c>
      <c r="AC737" s="97">
        <f t="shared" si="434"/>
        <v>4019.2999999999997</v>
      </c>
      <c r="AD737" s="98">
        <v>4019.3</v>
      </c>
      <c r="AE737" s="98">
        <v>4038.2</v>
      </c>
      <c r="AF737" s="98">
        <v>4053.4</v>
      </c>
      <c r="AG737" s="98">
        <f t="shared" si="435"/>
        <v>34.099999999999909</v>
      </c>
      <c r="AH737" s="99">
        <v>1586.7</v>
      </c>
      <c r="AI737" s="100">
        <f t="shared" si="436"/>
        <v>6431529.7800000003</v>
      </c>
      <c r="AJ737" s="100">
        <f>(2*AH737)*2</f>
        <v>6346.8</v>
      </c>
      <c r="AK737" s="100">
        <v>0</v>
      </c>
      <c r="AL737" s="100">
        <v>0</v>
      </c>
      <c r="AM737" s="100">
        <v>0</v>
      </c>
      <c r="AN737" s="100">
        <v>0</v>
      </c>
      <c r="AO737" s="100">
        <f>IFERROR(AF737*20+(((AJ737/AH737)/2)*20),0)</f>
        <v>81108</v>
      </c>
      <c r="AP737" s="100">
        <f t="shared" si="438"/>
        <v>325950</v>
      </c>
      <c r="AQ737" s="101">
        <f t="shared" si="431"/>
        <v>6844935</v>
      </c>
      <c r="AR737" s="101">
        <v>0</v>
      </c>
      <c r="AS737" s="101">
        <v>0</v>
      </c>
      <c r="AT737" s="102" t="s">
        <v>33</v>
      </c>
      <c r="AU737" s="109" t="s">
        <v>118</v>
      </c>
      <c r="AV737" s="100">
        <v>0</v>
      </c>
      <c r="AW737" s="105">
        <v>0</v>
      </c>
      <c r="AX737" s="216">
        <f t="shared" si="441"/>
        <v>0.84126905807470043</v>
      </c>
      <c r="AY737" s="217">
        <f t="shared" si="442"/>
        <v>54107</v>
      </c>
      <c r="AZ737" s="107"/>
      <c r="BA737" s="94">
        <v>45584.534722222219</v>
      </c>
      <c r="BB737" s="94">
        <v>45584.538194444445</v>
      </c>
      <c r="BC737" s="94">
        <v>45584.538194444445</v>
      </c>
      <c r="BD737" s="94">
        <v>45584.763888888891</v>
      </c>
      <c r="BE737" s="95">
        <f t="shared" si="443"/>
        <v>0.22916666667151731</v>
      </c>
      <c r="BF737" s="95">
        <v>9.7222222222222224E-3</v>
      </c>
      <c r="BG737" s="95">
        <v>4.8611111111111112E-2</v>
      </c>
      <c r="BH737" s="95">
        <f t="shared" si="444"/>
        <v>3.4722222262644209E-3</v>
      </c>
      <c r="BI737" s="95">
        <f t="shared" si="444"/>
        <v>0</v>
      </c>
      <c r="BJ737" s="95">
        <f t="shared" si="444"/>
        <v>0.22569444444525288</v>
      </c>
      <c r="BK737" s="95">
        <f t="shared" si="445"/>
        <v>0.22569444444525288</v>
      </c>
      <c r="BL737" s="95">
        <f t="shared" si="446"/>
        <v>0.16736111111191956</v>
      </c>
      <c r="BM737" s="95">
        <f t="shared" si="447"/>
        <v>2.0833333338183962E-2</v>
      </c>
      <c r="BN737" s="110"/>
    </row>
    <row r="738" spans="1:66" s="8" customFormat="1" ht="12.75" customHeight="1" x14ac:dyDescent="0.25">
      <c r="A738" s="150">
        <v>671</v>
      </c>
      <c r="B738" s="150">
        <v>44</v>
      </c>
      <c r="C738" s="90">
        <v>12</v>
      </c>
      <c r="D738" s="111" t="s">
        <v>113</v>
      </c>
      <c r="E738" s="210" t="s">
        <v>863</v>
      </c>
      <c r="F738" s="150" t="s">
        <v>32</v>
      </c>
      <c r="G738" s="150" t="s">
        <v>8</v>
      </c>
      <c r="H738" s="150" t="s">
        <v>779</v>
      </c>
      <c r="I738" s="150" t="s">
        <v>925</v>
      </c>
      <c r="J738" s="151">
        <v>45584</v>
      </c>
      <c r="K738" s="135" t="s">
        <v>122</v>
      </c>
      <c r="L738" s="135">
        <v>281000247</v>
      </c>
      <c r="M738" s="151">
        <v>45585</v>
      </c>
      <c r="N738" s="152">
        <v>45584.791666666664</v>
      </c>
      <c r="O738" s="152">
        <v>45584.791666666664</v>
      </c>
      <c r="P738" s="152">
        <v>45584.802083333336</v>
      </c>
      <c r="Q738" s="152">
        <v>45584.989583333336</v>
      </c>
      <c r="R738" s="152" t="s">
        <v>118</v>
      </c>
      <c r="S738" s="152" t="s">
        <v>118</v>
      </c>
      <c r="T738" s="152">
        <v>45585.0625</v>
      </c>
      <c r="U738" s="152">
        <v>45585.144444444442</v>
      </c>
      <c r="V738" s="219">
        <f t="shared" si="439"/>
        <v>0.19791666667151731</v>
      </c>
      <c r="W738" s="203">
        <v>0.20833333333333334</v>
      </c>
      <c r="X738" s="219" t="str">
        <f t="shared" si="440"/>
        <v>00:00</v>
      </c>
      <c r="Y738" s="96">
        <v>2</v>
      </c>
      <c r="Z738" s="96">
        <v>57</v>
      </c>
      <c r="AA738" s="96">
        <f t="shared" si="432"/>
        <v>59</v>
      </c>
      <c r="AB738" s="97">
        <f t="shared" si="433"/>
        <v>134.67254237288137</v>
      </c>
      <c r="AC738" s="97">
        <f t="shared" si="434"/>
        <v>3838.1674576271189</v>
      </c>
      <c r="AD738" s="98">
        <v>3972.84</v>
      </c>
      <c r="AE738" s="98">
        <v>4089.4</v>
      </c>
      <c r="AF738" s="98">
        <v>4089.4</v>
      </c>
      <c r="AG738" s="98">
        <f t="shared" si="435"/>
        <v>116.55999999999995</v>
      </c>
      <c r="AH738" s="99">
        <v>1435.6</v>
      </c>
      <c r="AI738" s="100">
        <f t="shared" si="436"/>
        <v>5870742.6399999997</v>
      </c>
      <c r="AJ738" s="100">
        <f t="shared" ref="AJ738:AJ744" si="448">(0*AH738)*2</f>
        <v>0</v>
      </c>
      <c r="AK738" s="100">
        <v>0</v>
      </c>
      <c r="AL738" s="100">
        <v>0</v>
      </c>
      <c r="AM738" s="100">
        <v>0</v>
      </c>
      <c r="AN738" s="100">
        <v>0</v>
      </c>
      <c r="AO738" s="100">
        <v>0</v>
      </c>
      <c r="AP738" s="100">
        <f t="shared" si="438"/>
        <v>293538</v>
      </c>
      <c r="AQ738" s="101">
        <f t="shared" si="431"/>
        <v>6164281</v>
      </c>
      <c r="AR738" s="101">
        <v>0</v>
      </c>
      <c r="AS738" s="101">
        <v>0</v>
      </c>
      <c r="AT738" s="102" t="s">
        <v>33</v>
      </c>
      <c r="AU738" s="109" t="s">
        <v>118</v>
      </c>
      <c r="AV738" s="100">
        <v>0</v>
      </c>
      <c r="AW738" s="105">
        <v>0</v>
      </c>
      <c r="AX738" s="216">
        <f t="shared" si="441"/>
        <v>2.8502958869271762</v>
      </c>
      <c r="AY738" s="217">
        <f t="shared" si="442"/>
        <v>167334</v>
      </c>
      <c r="AZ738" s="107"/>
      <c r="BA738" s="94">
        <v>45584.791666666664</v>
      </c>
      <c r="BB738" s="94">
        <v>45584.802083333336</v>
      </c>
      <c r="BC738" s="94">
        <v>45584.802083333336</v>
      </c>
      <c r="BD738" s="94">
        <v>45584.913194444445</v>
      </c>
      <c r="BE738" s="95">
        <f t="shared" si="443"/>
        <v>0.12152777778101154</v>
      </c>
      <c r="BF738" s="95">
        <v>0</v>
      </c>
      <c r="BG738" s="95">
        <v>0</v>
      </c>
      <c r="BH738" s="95">
        <f t="shared" si="444"/>
        <v>1.0416666671517305E-2</v>
      </c>
      <c r="BI738" s="95">
        <f t="shared" si="444"/>
        <v>0</v>
      </c>
      <c r="BJ738" s="95">
        <f t="shared" si="444"/>
        <v>0.11111111110949423</v>
      </c>
      <c r="BK738" s="95">
        <f t="shared" si="445"/>
        <v>0.11111111110949423</v>
      </c>
      <c r="BL738" s="95">
        <f t="shared" si="446"/>
        <v>0.11111111110949423</v>
      </c>
      <c r="BM738" s="95" t="str">
        <f t="shared" si="447"/>
        <v>00:00</v>
      </c>
      <c r="BN738" s="110"/>
    </row>
    <row r="739" spans="1:66" s="8" customFormat="1" ht="12.75" customHeight="1" x14ac:dyDescent="0.25">
      <c r="A739" s="150">
        <v>672</v>
      </c>
      <c r="B739" s="150">
        <v>45</v>
      </c>
      <c r="C739" s="90">
        <v>13</v>
      </c>
      <c r="D739" s="111" t="s">
        <v>113</v>
      </c>
      <c r="E739" s="210" t="s">
        <v>863</v>
      </c>
      <c r="F739" s="150" t="s">
        <v>32</v>
      </c>
      <c r="G739" s="150" t="s">
        <v>8</v>
      </c>
      <c r="H739" s="150" t="s">
        <v>273</v>
      </c>
      <c r="I739" s="150" t="s">
        <v>926</v>
      </c>
      <c r="J739" s="151">
        <v>45586</v>
      </c>
      <c r="K739" s="135" t="s">
        <v>122</v>
      </c>
      <c r="L739" s="135">
        <v>262010322</v>
      </c>
      <c r="M739" s="151">
        <v>45587</v>
      </c>
      <c r="N739" s="152">
        <v>45586.75</v>
      </c>
      <c r="O739" s="152">
        <v>45586.75</v>
      </c>
      <c r="P739" s="152">
        <v>45586.753472222219</v>
      </c>
      <c r="Q739" s="152">
        <v>45586.916666666664</v>
      </c>
      <c r="R739" s="152" t="s">
        <v>118</v>
      </c>
      <c r="S739" s="152" t="s">
        <v>118</v>
      </c>
      <c r="T739" s="152">
        <v>45587.006944444445</v>
      </c>
      <c r="U739" s="152">
        <v>45587.068055555559</v>
      </c>
      <c r="V739" s="219">
        <f t="shared" si="439"/>
        <v>0.16666666666424135</v>
      </c>
      <c r="W739" s="203">
        <v>0.20833333333333334</v>
      </c>
      <c r="X739" s="219" t="str">
        <f t="shared" si="440"/>
        <v>00:00</v>
      </c>
      <c r="Y739" s="96">
        <v>1</v>
      </c>
      <c r="Z739" s="96">
        <v>58</v>
      </c>
      <c r="AA739" s="96">
        <f t="shared" si="432"/>
        <v>59</v>
      </c>
      <c r="AB739" s="97">
        <f t="shared" si="433"/>
        <v>67.214406779661019</v>
      </c>
      <c r="AC739" s="97">
        <f t="shared" si="434"/>
        <v>3898.4355932203389</v>
      </c>
      <c r="AD739" s="98">
        <v>3965.65</v>
      </c>
      <c r="AE739" s="98">
        <v>4097</v>
      </c>
      <c r="AF739" s="98">
        <v>4097</v>
      </c>
      <c r="AG739" s="98">
        <f t="shared" si="435"/>
        <v>131.34999999999991</v>
      </c>
      <c r="AH739" s="99">
        <v>1435.6</v>
      </c>
      <c r="AI739" s="100">
        <f t="shared" si="436"/>
        <v>5881653.1999999993</v>
      </c>
      <c r="AJ739" s="100">
        <f t="shared" si="448"/>
        <v>0</v>
      </c>
      <c r="AK739" s="100">
        <v>0</v>
      </c>
      <c r="AL739" s="100">
        <v>0</v>
      </c>
      <c r="AM739" s="100">
        <v>0</v>
      </c>
      <c r="AN739" s="100">
        <v>0</v>
      </c>
      <c r="AO739" s="100">
        <v>0</v>
      </c>
      <c r="AP739" s="100">
        <f t="shared" si="438"/>
        <v>294083</v>
      </c>
      <c r="AQ739" s="101">
        <f t="shared" si="431"/>
        <v>6175737</v>
      </c>
      <c r="AR739" s="101">
        <v>0</v>
      </c>
      <c r="AS739" s="101">
        <v>0</v>
      </c>
      <c r="AT739" s="102" t="s">
        <v>33</v>
      </c>
      <c r="AU739" s="109" t="s">
        <v>118</v>
      </c>
      <c r="AV739" s="100">
        <v>0</v>
      </c>
      <c r="AW739" s="105">
        <v>0</v>
      </c>
      <c r="AX739" s="216">
        <f t="shared" si="441"/>
        <v>3.2060043934586258</v>
      </c>
      <c r="AY739" s="217">
        <f t="shared" si="442"/>
        <v>188567</v>
      </c>
      <c r="AZ739" s="107"/>
      <c r="BA739" s="94">
        <v>45586.75</v>
      </c>
      <c r="BB739" s="94">
        <v>45586.753472222219</v>
      </c>
      <c r="BC739" s="94">
        <v>45586.753472222219</v>
      </c>
      <c r="BD739" s="94">
        <v>45586.874305555553</v>
      </c>
      <c r="BE739" s="95">
        <f t="shared" si="443"/>
        <v>0.12430555555329192</v>
      </c>
      <c r="BF739" s="95">
        <v>0</v>
      </c>
      <c r="BG739" s="95">
        <v>0</v>
      </c>
      <c r="BH739" s="95">
        <f t="shared" si="444"/>
        <v>3.4722222189884633E-3</v>
      </c>
      <c r="BI739" s="95">
        <f t="shared" si="444"/>
        <v>0</v>
      </c>
      <c r="BJ739" s="95">
        <f t="shared" si="444"/>
        <v>0.12083333333430346</v>
      </c>
      <c r="BK739" s="95">
        <f t="shared" si="445"/>
        <v>0.12083333333430346</v>
      </c>
      <c r="BL739" s="95">
        <f t="shared" si="446"/>
        <v>0.12083333333430346</v>
      </c>
      <c r="BM739" s="95" t="str">
        <f t="shared" si="447"/>
        <v>00:00</v>
      </c>
      <c r="BN739" s="110"/>
    </row>
    <row r="740" spans="1:66" s="8" customFormat="1" ht="12.75" customHeight="1" x14ac:dyDescent="0.25">
      <c r="A740" s="150">
        <v>673</v>
      </c>
      <c r="B740" s="150">
        <v>46</v>
      </c>
      <c r="C740" s="90">
        <v>14</v>
      </c>
      <c r="D740" s="111" t="s">
        <v>113</v>
      </c>
      <c r="E740" s="210" t="s">
        <v>863</v>
      </c>
      <c r="F740" s="150" t="s">
        <v>32</v>
      </c>
      <c r="G740" s="150" t="s">
        <v>8</v>
      </c>
      <c r="H740" s="150" t="s">
        <v>779</v>
      </c>
      <c r="I740" s="150" t="s">
        <v>927</v>
      </c>
      <c r="J740" s="151">
        <v>45587</v>
      </c>
      <c r="K740" s="135" t="s">
        <v>117</v>
      </c>
      <c r="L740" s="135">
        <v>281000248</v>
      </c>
      <c r="M740" s="151">
        <v>45587</v>
      </c>
      <c r="N740" s="152">
        <v>45587.239583333336</v>
      </c>
      <c r="O740" s="152">
        <v>45587.239583333336</v>
      </c>
      <c r="P740" s="152">
        <v>45587.25</v>
      </c>
      <c r="Q740" s="152">
        <v>45587.427083333336</v>
      </c>
      <c r="R740" s="152" t="s">
        <v>118</v>
      </c>
      <c r="S740" s="152" t="s">
        <v>118</v>
      </c>
      <c r="T740" s="152">
        <v>45587.479166666664</v>
      </c>
      <c r="U740" s="152">
        <v>45587.746527777781</v>
      </c>
      <c r="V740" s="219">
        <f t="shared" si="439"/>
        <v>0.1875</v>
      </c>
      <c r="W740" s="203">
        <v>0.20833333333333334</v>
      </c>
      <c r="X740" s="219" t="str">
        <f t="shared" si="440"/>
        <v>00:00</v>
      </c>
      <c r="Y740" s="96">
        <v>1</v>
      </c>
      <c r="Z740" s="96">
        <v>57</v>
      </c>
      <c r="AA740" s="96">
        <f t="shared" si="432"/>
        <v>58</v>
      </c>
      <c r="AB740" s="97">
        <f t="shared" si="433"/>
        <v>68.536206896551718</v>
      </c>
      <c r="AC740" s="97">
        <f t="shared" si="434"/>
        <v>3906.563793103448</v>
      </c>
      <c r="AD740" s="98">
        <v>3975.1</v>
      </c>
      <c r="AE740" s="98">
        <v>4027.8</v>
      </c>
      <c r="AF740" s="98">
        <v>4032</v>
      </c>
      <c r="AG740" s="98">
        <f t="shared" si="435"/>
        <v>56.900000000000091</v>
      </c>
      <c r="AH740" s="99">
        <v>1435.6</v>
      </c>
      <c r="AI740" s="100">
        <f t="shared" si="436"/>
        <v>5788339.1999999993</v>
      </c>
      <c r="AJ740" s="100">
        <f t="shared" si="448"/>
        <v>0</v>
      </c>
      <c r="AK740" s="100">
        <v>0</v>
      </c>
      <c r="AL740" s="100">
        <v>24140</v>
      </c>
      <c r="AM740" s="100">
        <v>0</v>
      </c>
      <c r="AN740" s="100">
        <v>0</v>
      </c>
      <c r="AO740" s="100">
        <v>0</v>
      </c>
      <c r="AP740" s="100">
        <f t="shared" si="438"/>
        <v>290624</v>
      </c>
      <c r="AQ740" s="101">
        <f t="shared" si="431"/>
        <v>6103104</v>
      </c>
      <c r="AR740" s="101">
        <v>0</v>
      </c>
      <c r="AS740" s="101">
        <v>0</v>
      </c>
      <c r="AT740" s="102" t="s">
        <v>33</v>
      </c>
      <c r="AU740" s="109">
        <v>1</v>
      </c>
      <c r="AV740" s="100">
        <f>4.87-3.87</f>
        <v>1</v>
      </c>
      <c r="AW740" s="105">
        <v>0</v>
      </c>
      <c r="AX740" s="216">
        <f t="shared" si="441"/>
        <v>1.4112103174603197</v>
      </c>
      <c r="AY740" s="217">
        <f t="shared" si="442"/>
        <v>81686</v>
      </c>
      <c r="AZ740" s="107"/>
      <c r="BA740" s="94">
        <v>45587.239583333336</v>
      </c>
      <c r="BB740" s="94">
        <v>45587.25</v>
      </c>
      <c r="BC740" s="94">
        <v>45587.25</v>
      </c>
      <c r="BD740" s="94">
        <v>45587.390972222223</v>
      </c>
      <c r="BE740" s="95">
        <f t="shared" si="443"/>
        <v>0.15138888888759539</v>
      </c>
      <c r="BF740" s="95">
        <v>1.1111111111111112E-2</v>
      </c>
      <c r="BG740" s="95">
        <v>2.7777777777777779E-3</v>
      </c>
      <c r="BH740" s="95">
        <f t="shared" si="444"/>
        <v>1.0416666664241347E-2</v>
      </c>
      <c r="BI740" s="95">
        <f t="shared" si="444"/>
        <v>0</v>
      </c>
      <c r="BJ740" s="95">
        <f t="shared" si="444"/>
        <v>0.14097222222335404</v>
      </c>
      <c r="BK740" s="95">
        <f t="shared" si="445"/>
        <v>0.14097222222335404</v>
      </c>
      <c r="BL740" s="95">
        <f t="shared" si="446"/>
        <v>0.12708333333446517</v>
      </c>
      <c r="BM740" s="95" t="str">
        <f t="shared" si="447"/>
        <v>00:00</v>
      </c>
      <c r="BN740" s="110"/>
    </row>
    <row r="741" spans="1:66" s="8" customFormat="1" ht="12.75" customHeight="1" x14ac:dyDescent="0.25">
      <c r="A741" s="150">
        <v>674</v>
      </c>
      <c r="B741" s="150">
        <v>47</v>
      </c>
      <c r="C741" s="90">
        <v>15</v>
      </c>
      <c r="D741" s="111" t="s">
        <v>113</v>
      </c>
      <c r="E741" s="210" t="s">
        <v>863</v>
      </c>
      <c r="F741" s="150" t="s">
        <v>32</v>
      </c>
      <c r="G741" s="150" t="s">
        <v>8</v>
      </c>
      <c r="H741" s="150" t="s">
        <v>779</v>
      </c>
      <c r="I741" s="150" t="s">
        <v>928</v>
      </c>
      <c r="J741" s="151">
        <v>45589</v>
      </c>
      <c r="K741" s="135" t="s">
        <v>122</v>
      </c>
      <c r="L741" s="135">
        <v>281000249</v>
      </c>
      <c r="M741" s="151">
        <v>45590</v>
      </c>
      <c r="N741" s="152">
        <v>45589.788194444445</v>
      </c>
      <c r="O741" s="152">
        <v>45589.788194444445</v>
      </c>
      <c r="P741" s="152">
        <v>45589.798611111109</v>
      </c>
      <c r="Q741" s="152">
        <v>45589.979166666664</v>
      </c>
      <c r="R741" s="152" t="s">
        <v>118</v>
      </c>
      <c r="S741" s="152" t="s">
        <v>118</v>
      </c>
      <c r="T741" s="152">
        <v>45590.090277777781</v>
      </c>
      <c r="U741" s="152">
        <v>45590.20416666667</v>
      </c>
      <c r="V741" s="219">
        <f t="shared" si="439"/>
        <v>0.19097222221898846</v>
      </c>
      <c r="W741" s="203">
        <v>0.20833333333333334</v>
      </c>
      <c r="X741" s="219" t="str">
        <f t="shared" si="440"/>
        <v>00:00</v>
      </c>
      <c r="Y741" s="96">
        <v>1</v>
      </c>
      <c r="Z741" s="96">
        <v>58</v>
      </c>
      <c r="AA741" s="96">
        <f t="shared" si="432"/>
        <v>59</v>
      </c>
      <c r="AB741" s="97">
        <f t="shared" si="433"/>
        <v>67.777966101694915</v>
      </c>
      <c r="AC741" s="97">
        <f t="shared" si="434"/>
        <v>3931.1220338983048</v>
      </c>
      <c r="AD741" s="98">
        <v>3998.9</v>
      </c>
      <c r="AE741" s="98">
        <v>4084.3</v>
      </c>
      <c r="AF741" s="98">
        <v>4086.2</v>
      </c>
      <c r="AG741" s="98">
        <f t="shared" si="435"/>
        <v>87.299999999999727</v>
      </c>
      <c r="AH741" s="99">
        <v>1435.6</v>
      </c>
      <c r="AI741" s="100">
        <f t="shared" si="436"/>
        <v>5866148.7199999997</v>
      </c>
      <c r="AJ741" s="100">
        <f t="shared" si="448"/>
        <v>0</v>
      </c>
      <c r="AK741" s="100">
        <v>0</v>
      </c>
      <c r="AL741" s="100">
        <v>0</v>
      </c>
      <c r="AM741" s="100">
        <v>0</v>
      </c>
      <c r="AN741" s="100">
        <v>0</v>
      </c>
      <c r="AO741" s="100">
        <v>0</v>
      </c>
      <c r="AP741" s="100">
        <f t="shared" si="438"/>
        <v>293308</v>
      </c>
      <c r="AQ741" s="101">
        <f t="shared" si="431"/>
        <v>6159457</v>
      </c>
      <c r="AR741" s="101">
        <v>0</v>
      </c>
      <c r="AS741" s="101">
        <v>0</v>
      </c>
      <c r="AT741" s="102" t="s">
        <v>33</v>
      </c>
      <c r="AU741" s="109" t="s">
        <v>118</v>
      </c>
      <c r="AV741" s="100">
        <v>0</v>
      </c>
      <c r="AW741" s="105">
        <v>0</v>
      </c>
      <c r="AX741" s="216">
        <f t="shared" si="441"/>
        <v>2.1364593020410094</v>
      </c>
      <c r="AY741" s="217">
        <f t="shared" si="442"/>
        <v>125328</v>
      </c>
      <c r="AZ741" s="107"/>
      <c r="BA741" s="94">
        <v>45589.788194444445</v>
      </c>
      <c r="BB741" s="94">
        <v>45589.798611111109</v>
      </c>
      <c r="BC741" s="94">
        <v>45589.802083333336</v>
      </c>
      <c r="BD741" s="94">
        <v>45589.947222222225</v>
      </c>
      <c r="BE741" s="95">
        <f t="shared" si="443"/>
        <v>0.15902777777955635</v>
      </c>
      <c r="BF741" s="95">
        <v>3.472222222222222E-3</v>
      </c>
      <c r="BG741" s="95">
        <v>0</v>
      </c>
      <c r="BH741" s="95">
        <f t="shared" si="444"/>
        <v>1.0416666664241347E-2</v>
      </c>
      <c r="BI741" s="95">
        <f t="shared" si="444"/>
        <v>3.4722222262644209E-3</v>
      </c>
      <c r="BJ741" s="95">
        <f t="shared" si="444"/>
        <v>0.14513888888905058</v>
      </c>
      <c r="BK741" s="95">
        <f t="shared" si="445"/>
        <v>0.148611111115315</v>
      </c>
      <c r="BL741" s="95">
        <f t="shared" si="446"/>
        <v>0.14513888889309279</v>
      </c>
      <c r="BM741" s="95" t="str">
        <f t="shared" si="447"/>
        <v>00:00</v>
      </c>
      <c r="BN741" s="110"/>
    </row>
    <row r="742" spans="1:66" s="8" customFormat="1" ht="12.75" customHeight="1" x14ac:dyDescent="0.25">
      <c r="A742" s="150">
        <v>675</v>
      </c>
      <c r="B742" s="150">
        <v>48</v>
      </c>
      <c r="C742" s="90">
        <v>1</v>
      </c>
      <c r="D742" s="111" t="s">
        <v>148</v>
      </c>
      <c r="E742" s="210" t="s">
        <v>929</v>
      </c>
      <c r="F742" s="150" t="s">
        <v>16</v>
      </c>
      <c r="G742" s="150" t="s">
        <v>17</v>
      </c>
      <c r="H742" s="150" t="s">
        <v>150</v>
      </c>
      <c r="I742" s="150" t="s">
        <v>190</v>
      </c>
      <c r="J742" s="151">
        <v>45589</v>
      </c>
      <c r="K742" s="135" t="s">
        <v>117</v>
      </c>
      <c r="L742" s="135">
        <v>461000513</v>
      </c>
      <c r="M742" s="151">
        <v>45590</v>
      </c>
      <c r="N742" s="152">
        <v>45590.09375</v>
      </c>
      <c r="O742" s="152">
        <v>45590.09375</v>
      </c>
      <c r="P742" s="152">
        <v>45590.104166666664</v>
      </c>
      <c r="Q742" s="152">
        <v>45590.291666666664</v>
      </c>
      <c r="R742" s="152" t="s">
        <v>118</v>
      </c>
      <c r="S742" s="152" t="s">
        <v>118</v>
      </c>
      <c r="T742" s="152">
        <v>45590.302083333336</v>
      </c>
      <c r="U742" s="152">
        <v>45590.447916666664</v>
      </c>
      <c r="V742" s="219">
        <f t="shared" si="439"/>
        <v>0.19791666666424135</v>
      </c>
      <c r="W742" s="203">
        <v>0.20833333333333334</v>
      </c>
      <c r="X742" s="219" t="str">
        <f t="shared" si="440"/>
        <v>00:00</v>
      </c>
      <c r="Y742" s="96">
        <v>1</v>
      </c>
      <c r="Z742" s="96">
        <v>58</v>
      </c>
      <c r="AA742" s="96">
        <f t="shared" si="432"/>
        <v>59</v>
      </c>
      <c r="AB742" s="97">
        <f t="shared" si="433"/>
        <v>70.266949152542367</v>
      </c>
      <c r="AC742" s="97">
        <f t="shared" si="434"/>
        <v>4075.4830508474574</v>
      </c>
      <c r="AD742" s="98">
        <v>4145.75</v>
      </c>
      <c r="AE742" s="98">
        <v>4116.3999999999996</v>
      </c>
      <c r="AF742" s="98">
        <v>4162.8</v>
      </c>
      <c r="AG742" s="98">
        <f t="shared" si="435"/>
        <v>17.050000000000182</v>
      </c>
      <c r="AH742" s="99">
        <v>672.5</v>
      </c>
      <c r="AI742" s="100">
        <f t="shared" si="436"/>
        <v>2799483</v>
      </c>
      <c r="AJ742" s="100">
        <f t="shared" si="448"/>
        <v>0</v>
      </c>
      <c r="AK742" s="100">
        <v>0</v>
      </c>
      <c r="AL742" s="100">
        <v>48580</v>
      </c>
      <c r="AM742" s="100">
        <v>0</v>
      </c>
      <c r="AN742" s="100">
        <v>0</v>
      </c>
      <c r="AO742" s="100">
        <v>0</v>
      </c>
      <c r="AP742" s="100">
        <f t="shared" si="438"/>
        <v>142404</v>
      </c>
      <c r="AQ742" s="101">
        <f t="shared" si="431"/>
        <v>2990467</v>
      </c>
      <c r="AR742" s="101">
        <v>0</v>
      </c>
      <c r="AS742" s="101">
        <v>0</v>
      </c>
      <c r="AT742" s="102" t="s">
        <v>33</v>
      </c>
      <c r="AU742" s="109">
        <v>43</v>
      </c>
      <c r="AV742" s="100">
        <f>130.08-37.08</f>
        <v>93.000000000000014</v>
      </c>
      <c r="AW742" s="105">
        <v>0</v>
      </c>
      <c r="AX742" s="216">
        <f t="shared" si="441"/>
        <v>0.40958009032382481</v>
      </c>
      <c r="AY742" s="217">
        <f t="shared" si="442"/>
        <v>11467</v>
      </c>
      <c r="AZ742" s="107"/>
      <c r="BA742" s="94">
        <v>45590.09375</v>
      </c>
      <c r="BB742" s="94">
        <v>45590.104166666664</v>
      </c>
      <c r="BC742" s="94">
        <v>45590.111111111109</v>
      </c>
      <c r="BD742" s="94">
        <v>45590.246527777781</v>
      </c>
      <c r="BE742" s="95">
        <f t="shared" si="443"/>
        <v>0.15277777778101154</v>
      </c>
      <c r="BF742" s="95">
        <v>3.472222222222222E-3</v>
      </c>
      <c r="BG742" s="95">
        <v>1.1805555555555555E-2</v>
      </c>
      <c r="BH742" s="95">
        <f t="shared" si="444"/>
        <v>1.0416666664241347E-2</v>
      </c>
      <c r="BI742" s="95">
        <f t="shared" si="444"/>
        <v>6.9444444452528842E-3</v>
      </c>
      <c r="BJ742" s="95">
        <f t="shared" si="444"/>
        <v>0.13541666667151731</v>
      </c>
      <c r="BK742" s="95">
        <f t="shared" si="445"/>
        <v>0.14236111111677019</v>
      </c>
      <c r="BL742" s="95">
        <f t="shared" si="446"/>
        <v>0.12708333333899241</v>
      </c>
      <c r="BM742" s="95" t="str">
        <f t="shared" si="447"/>
        <v>00:00</v>
      </c>
      <c r="BN742" s="110"/>
    </row>
    <row r="743" spans="1:66" s="8" customFormat="1" ht="12.75" customHeight="1" x14ac:dyDescent="0.25">
      <c r="A743" s="150">
        <v>676</v>
      </c>
      <c r="B743" s="150">
        <v>49</v>
      </c>
      <c r="C743" s="90">
        <v>2</v>
      </c>
      <c r="D743" s="111" t="s">
        <v>148</v>
      </c>
      <c r="E743" s="210" t="s">
        <v>929</v>
      </c>
      <c r="F743" s="150" t="s">
        <v>16</v>
      </c>
      <c r="G743" s="150" t="s">
        <v>17</v>
      </c>
      <c r="H743" s="150" t="s">
        <v>150</v>
      </c>
      <c r="I743" s="150" t="s">
        <v>191</v>
      </c>
      <c r="J743" s="151">
        <v>45590</v>
      </c>
      <c r="K743" s="135" t="s">
        <v>122</v>
      </c>
      <c r="L743" s="135">
        <v>461000514</v>
      </c>
      <c r="M743" s="151">
        <v>45590</v>
      </c>
      <c r="N743" s="152">
        <v>45590.350694444445</v>
      </c>
      <c r="O743" s="152">
        <v>45590.350694444445</v>
      </c>
      <c r="P743" s="152">
        <v>45590.354166666664</v>
      </c>
      <c r="Q743" s="152">
        <v>45590.53125</v>
      </c>
      <c r="R743" s="152" t="s">
        <v>118</v>
      </c>
      <c r="S743" s="152" t="s">
        <v>118</v>
      </c>
      <c r="T743" s="152">
        <v>45590.645833333336</v>
      </c>
      <c r="U743" s="152">
        <v>45590.770833333336</v>
      </c>
      <c r="V743" s="219">
        <f t="shared" si="439"/>
        <v>0.18055555555474712</v>
      </c>
      <c r="W743" s="203">
        <v>0.20833333333333334</v>
      </c>
      <c r="X743" s="219" t="str">
        <f t="shared" si="440"/>
        <v>00:00</v>
      </c>
      <c r="Y743" s="96">
        <v>1</v>
      </c>
      <c r="Z743" s="96">
        <v>57</v>
      </c>
      <c r="AA743" s="96">
        <f t="shared" si="432"/>
        <v>58</v>
      </c>
      <c r="AB743" s="97">
        <f t="shared" si="433"/>
        <v>69.606896551724134</v>
      </c>
      <c r="AC743" s="97">
        <f t="shared" si="434"/>
        <v>3967.5931034482755</v>
      </c>
      <c r="AD743" s="98">
        <v>4037.2</v>
      </c>
      <c r="AE743" s="98">
        <v>4028.7</v>
      </c>
      <c r="AF743" s="98">
        <v>4058.6</v>
      </c>
      <c r="AG743" s="98">
        <f t="shared" si="435"/>
        <v>21.400000000000091</v>
      </c>
      <c r="AH743" s="99">
        <v>672.5</v>
      </c>
      <c r="AI743" s="100">
        <f t="shared" si="436"/>
        <v>2729408.5</v>
      </c>
      <c r="AJ743" s="100">
        <f t="shared" si="448"/>
        <v>0</v>
      </c>
      <c r="AK743" s="100">
        <v>0</v>
      </c>
      <c r="AL743" s="100">
        <v>24140</v>
      </c>
      <c r="AM743" s="100">
        <v>0</v>
      </c>
      <c r="AN743" s="100">
        <v>0</v>
      </c>
      <c r="AO743" s="100">
        <v>0</v>
      </c>
      <c r="AP743" s="100">
        <f t="shared" si="438"/>
        <v>137678</v>
      </c>
      <c r="AQ743" s="101">
        <f t="shared" si="431"/>
        <v>2891227</v>
      </c>
      <c r="AR743" s="101">
        <v>0</v>
      </c>
      <c r="AS743" s="101">
        <v>0</v>
      </c>
      <c r="AT743" s="102" t="s">
        <v>33</v>
      </c>
      <c r="AU743" s="109">
        <v>18</v>
      </c>
      <c r="AV743" s="100">
        <f>46.52-26.02</f>
        <v>20.500000000000004</v>
      </c>
      <c r="AW743" s="105">
        <v>0</v>
      </c>
      <c r="AX743" s="216">
        <f t="shared" si="441"/>
        <v>0.52727541516779408</v>
      </c>
      <c r="AY743" s="217">
        <f t="shared" si="442"/>
        <v>14392</v>
      </c>
      <c r="AZ743" s="107"/>
      <c r="BA743" s="94">
        <v>45590.350694444445</v>
      </c>
      <c r="BB743" s="94">
        <v>45590.354166666664</v>
      </c>
      <c r="BC743" s="94">
        <v>45590.354166666664</v>
      </c>
      <c r="BD743" s="94">
        <v>45590.5</v>
      </c>
      <c r="BE743" s="95">
        <f t="shared" si="443"/>
        <v>0.14930555555474712</v>
      </c>
      <c r="BF743" s="95">
        <v>4.8611111111111112E-3</v>
      </c>
      <c r="BG743" s="95">
        <v>9.7222222222222224E-3</v>
      </c>
      <c r="BH743" s="95">
        <f t="shared" si="444"/>
        <v>3.4722222189884633E-3</v>
      </c>
      <c r="BI743" s="95">
        <f t="shared" si="444"/>
        <v>0</v>
      </c>
      <c r="BJ743" s="95">
        <f t="shared" si="444"/>
        <v>0.14583333333575865</v>
      </c>
      <c r="BK743" s="95">
        <f t="shared" si="445"/>
        <v>0.14583333333575865</v>
      </c>
      <c r="BL743" s="95">
        <f t="shared" si="446"/>
        <v>0.13125000000242532</v>
      </c>
      <c r="BM743" s="95" t="str">
        <f t="shared" si="447"/>
        <v>00:00</v>
      </c>
      <c r="BN743" s="110"/>
    </row>
    <row r="744" spans="1:66" s="8" customFormat="1" ht="12.75" customHeight="1" x14ac:dyDescent="0.25">
      <c r="A744" s="150">
        <v>677</v>
      </c>
      <c r="B744" s="150">
        <v>50</v>
      </c>
      <c r="C744" s="90">
        <v>3</v>
      </c>
      <c r="D744" s="111" t="s">
        <v>148</v>
      </c>
      <c r="E744" s="210" t="s">
        <v>929</v>
      </c>
      <c r="F744" s="150" t="s">
        <v>16</v>
      </c>
      <c r="G744" s="150" t="s">
        <v>17</v>
      </c>
      <c r="H744" s="150" t="s">
        <v>150</v>
      </c>
      <c r="I744" s="150" t="s">
        <v>216</v>
      </c>
      <c r="J744" s="151">
        <v>45590</v>
      </c>
      <c r="K744" s="135" t="s">
        <v>117</v>
      </c>
      <c r="L744" s="135">
        <v>461000515</v>
      </c>
      <c r="M744" s="151">
        <v>45591</v>
      </c>
      <c r="N744" s="152">
        <v>45590.506944444445</v>
      </c>
      <c r="O744" s="152">
        <v>45590.506944444445</v>
      </c>
      <c r="P744" s="152">
        <v>45590.510416666664</v>
      </c>
      <c r="Q744" s="152">
        <v>45590.697916666664</v>
      </c>
      <c r="R744" s="152" t="s">
        <v>118</v>
      </c>
      <c r="S744" s="152" t="s">
        <v>118</v>
      </c>
      <c r="T744" s="152">
        <v>45590.84375</v>
      </c>
      <c r="U744" s="152">
        <v>45591</v>
      </c>
      <c r="V744" s="219">
        <f t="shared" si="439"/>
        <v>0.19097222221898846</v>
      </c>
      <c r="W744" s="203">
        <v>0.20833333333333334</v>
      </c>
      <c r="X744" s="219" t="str">
        <f t="shared" si="440"/>
        <v>00:00</v>
      </c>
      <c r="Y744" s="96">
        <v>1</v>
      </c>
      <c r="Z744" s="96">
        <v>56</v>
      </c>
      <c r="AA744" s="96">
        <f t="shared" si="432"/>
        <v>57</v>
      </c>
      <c r="AB744" s="97">
        <f t="shared" si="433"/>
        <v>69.885087719298241</v>
      </c>
      <c r="AC744" s="97">
        <f t="shared" si="434"/>
        <v>3913.5649122807017</v>
      </c>
      <c r="AD744" s="98">
        <v>3983.45</v>
      </c>
      <c r="AE744" s="98">
        <v>3973.9</v>
      </c>
      <c r="AF744" s="98">
        <v>3998.6</v>
      </c>
      <c r="AG744" s="98">
        <f t="shared" si="435"/>
        <v>15.150000000000091</v>
      </c>
      <c r="AH744" s="99">
        <v>672.5</v>
      </c>
      <c r="AI744" s="100">
        <f t="shared" si="436"/>
        <v>2689058.5</v>
      </c>
      <c r="AJ744" s="100">
        <f t="shared" si="448"/>
        <v>0</v>
      </c>
      <c r="AK744" s="100">
        <v>0</v>
      </c>
      <c r="AL744" s="100">
        <v>23990</v>
      </c>
      <c r="AM744" s="100">
        <v>0</v>
      </c>
      <c r="AN744" s="100">
        <v>0</v>
      </c>
      <c r="AO744" s="100">
        <v>0</v>
      </c>
      <c r="AP744" s="100">
        <f t="shared" si="438"/>
        <v>135653</v>
      </c>
      <c r="AQ744" s="101">
        <f t="shared" si="431"/>
        <v>2848702</v>
      </c>
      <c r="AR744" s="101">
        <v>0</v>
      </c>
      <c r="AS744" s="101">
        <v>0</v>
      </c>
      <c r="AT744" s="102" t="s">
        <v>33</v>
      </c>
      <c r="AU744" s="109">
        <v>14</v>
      </c>
      <c r="AV744" s="100">
        <f>31.74-21.74</f>
        <v>10</v>
      </c>
      <c r="AW744" s="105">
        <v>0</v>
      </c>
      <c r="AX744" s="216">
        <f t="shared" si="441"/>
        <v>0.37888260891312187</v>
      </c>
      <c r="AY744" s="217">
        <f t="shared" si="442"/>
        <v>10189</v>
      </c>
      <c r="AZ744" s="107"/>
      <c r="BA744" s="94">
        <v>45590.506944444445</v>
      </c>
      <c r="BB744" s="94">
        <v>45590.510416666664</v>
      </c>
      <c r="BC744" s="94">
        <v>45590.510416666664</v>
      </c>
      <c r="BD744" s="94">
        <v>45590.645833333336</v>
      </c>
      <c r="BE744" s="95">
        <f t="shared" si="443"/>
        <v>0.13888888889050577</v>
      </c>
      <c r="BF744" s="95">
        <v>9.0277777777777769E-3</v>
      </c>
      <c r="BG744" s="95">
        <v>3.472222222222222E-3</v>
      </c>
      <c r="BH744" s="95">
        <f t="shared" si="444"/>
        <v>3.4722222189884633E-3</v>
      </c>
      <c r="BI744" s="95">
        <f t="shared" si="444"/>
        <v>0</v>
      </c>
      <c r="BJ744" s="95">
        <f t="shared" si="444"/>
        <v>0.13541666667151731</v>
      </c>
      <c r="BK744" s="95">
        <f t="shared" si="445"/>
        <v>0.13541666667151731</v>
      </c>
      <c r="BL744" s="95">
        <f t="shared" si="446"/>
        <v>0.12291666667151731</v>
      </c>
      <c r="BM744" s="95" t="str">
        <f t="shared" si="447"/>
        <v>00:00</v>
      </c>
      <c r="BN744" s="110"/>
    </row>
    <row r="745" spans="1:66" s="8" customFormat="1" ht="12.75" customHeight="1" x14ac:dyDescent="0.25">
      <c r="A745" s="150">
        <v>678</v>
      </c>
      <c r="B745" s="150">
        <v>51</v>
      </c>
      <c r="C745" s="90">
        <v>16</v>
      </c>
      <c r="D745" s="111" t="s">
        <v>113</v>
      </c>
      <c r="E745" s="210" t="s">
        <v>863</v>
      </c>
      <c r="F745" s="150" t="s">
        <v>32</v>
      </c>
      <c r="G745" s="150" t="s">
        <v>8</v>
      </c>
      <c r="H745" s="150" t="s">
        <v>779</v>
      </c>
      <c r="I745" s="150" t="s">
        <v>241</v>
      </c>
      <c r="J745" s="151">
        <v>45590</v>
      </c>
      <c r="K745" s="135" t="s">
        <v>122</v>
      </c>
      <c r="L745" s="135">
        <v>281000250</v>
      </c>
      <c r="M745" s="151">
        <v>45591</v>
      </c>
      <c r="N745" s="152">
        <v>45590.822916666664</v>
      </c>
      <c r="O745" s="152">
        <v>45590.8125</v>
      </c>
      <c r="P745" s="152">
        <v>45590.833333333336</v>
      </c>
      <c r="Q745" s="152">
        <v>45590.993055555555</v>
      </c>
      <c r="R745" s="152">
        <v>45590.822916666664</v>
      </c>
      <c r="S745" s="152" t="s">
        <v>118</v>
      </c>
      <c r="T745" s="152">
        <v>45591.013888888891</v>
      </c>
      <c r="U745" s="152">
        <v>45591.177777777775</v>
      </c>
      <c r="V745" s="219">
        <f t="shared" si="439"/>
        <v>0.18055555555474712</v>
      </c>
      <c r="W745" s="203">
        <v>0.20833333333333334</v>
      </c>
      <c r="X745" s="219" t="str">
        <f t="shared" si="440"/>
        <v>00:00</v>
      </c>
      <c r="Y745" s="96">
        <v>1</v>
      </c>
      <c r="Z745" s="96">
        <v>58</v>
      </c>
      <c r="AA745" s="96">
        <f t="shared" si="432"/>
        <v>59</v>
      </c>
      <c r="AB745" s="97">
        <f t="shared" si="433"/>
        <v>68.256101694915259</v>
      </c>
      <c r="AC745" s="97">
        <f t="shared" si="434"/>
        <v>3958.8538983050848</v>
      </c>
      <c r="AD745" s="98">
        <v>4027.11</v>
      </c>
      <c r="AE745" s="98">
        <v>4099.8</v>
      </c>
      <c r="AF745" s="98">
        <v>4101.2</v>
      </c>
      <c r="AG745" s="98">
        <f t="shared" si="435"/>
        <v>74.089999999999691</v>
      </c>
      <c r="AH745" s="99">
        <v>1435.6</v>
      </c>
      <c r="AI745" s="100">
        <f t="shared" si="436"/>
        <v>5887682.7199999997</v>
      </c>
      <c r="AJ745" s="100">
        <f>(0.2*AH745)*2</f>
        <v>574.24</v>
      </c>
      <c r="AK745" s="100">
        <v>0</v>
      </c>
      <c r="AL745" s="100">
        <v>0</v>
      </c>
      <c r="AM745" s="100">
        <v>0</v>
      </c>
      <c r="AN745" s="100">
        <v>0</v>
      </c>
      <c r="AO745" s="100">
        <v>0</v>
      </c>
      <c r="AP745" s="100">
        <f t="shared" si="438"/>
        <v>294413</v>
      </c>
      <c r="AQ745" s="101">
        <f t="shared" si="431"/>
        <v>6182670</v>
      </c>
      <c r="AR745" s="101">
        <v>0</v>
      </c>
      <c r="AS745" s="101">
        <v>0</v>
      </c>
      <c r="AT745" s="102" t="s">
        <v>33</v>
      </c>
      <c r="AU745" s="109" t="s">
        <v>118</v>
      </c>
      <c r="AV745" s="100">
        <v>0</v>
      </c>
      <c r="AW745" s="105">
        <v>0</v>
      </c>
      <c r="AX745" s="216">
        <f t="shared" si="441"/>
        <v>1.806544426021645</v>
      </c>
      <c r="AY745" s="217">
        <f t="shared" si="442"/>
        <v>106364</v>
      </c>
      <c r="AZ745" s="107"/>
      <c r="BA745" s="94">
        <v>45590.822916666664</v>
      </c>
      <c r="BB745" s="94">
        <v>45590.833333333336</v>
      </c>
      <c r="BC745" s="94">
        <v>45590.833333333336</v>
      </c>
      <c r="BD745" s="94">
        <v>45590.977083333331</v>
      </c>
      <c r="BE745" s="95">
        <f t="shared" si="443"/>
        <v>0.15416666666715173</v>
      </c>
      <c r="BF745" s="95">
        <v>2.2916666666666665E-2</v>
      </c>
      <c r="BG745" s="95">
        <v>0</v>
      </c>
      <c r="BH745" s="95">
        <f t="shared" si="444"/>
        <v>1.0416666671517305E-2</v>
      </c>
      <c r="BI745" s="95">
        <f t="shared" si="444"/>
        <v>0</v>
      </c>
      <c r="BJ745" s="95">
        <f t="shared" si="444"/>
        <v>0.14374999999563443</v>
      </c>
      <c r="BK745" s="95">
        <f t="shared" si="445"/>
        <v>0.14374999999563443</v>
      </c>
      <c r="BL745" s="95">
        <f t="shared" si="446"/>
        <v>0.12083333332896776</v>
      </c>
      <c r="BM745" s="95" t="str">
        <f t="shared" si="447"/>
        <v>00:00</v>
      </c>
      <c r="BN745" s="110"/>
    </row>
    <row r="746" spans="1:66" s="8" customFormat="1" ht="12.75" customHeight="1" x14ac:dyDescent="0.25">
      <c r="A746" s="150">
        <v>679</v>
      </c>
      <c r="B746" s="150">
        <v>52</v>
      </c>
      <c r="C746" s="90">
        <v>4</v>
      </c>
      <c r="D746" s="111" t="s">
        <v>148</v>
      </c>
      <c r="E746" s="210" t="s">
        <v>929</v>
      </c>
      <c r="F746" s="150" t="s">
        <v>16</v>
      </c>
      <c r="G746" s="150" t="s">
        <v>17</v>
      </c>
      <c r="H746" s="150" t="s">
        <v>150</v>
      </c>
      <c r="I746" s="150" t="s">
        <v>193</v>
      </c>
      <c r="J746" s="151">
        <v>45590</v>
      </c>
      <c r="K746" s="135" t="s">
        <v>117</v>
      </c>
      <c r="L746" s="135">
        <v>461000516</v>
      </c>
      <c r="M746" s="151">
        <v>45591</v>
      </c>
      <c r="N746" s="152">
        <v>45591.09375</v>
      </c>
      <c r="O746" s="152">
        <v>45591.09375</v>
      </c>
      <c r="P746" s="152">
        <v>45591.097222222219</v>
      </c>
      <c r="Q746" s="152">
        <v>45591.270833333336</v>
      </c>
      <c r="R746" s="152" t="s">
        <v>118</v>
      </c>
      <c r="S746" s="152" t="s">
        <v>118</v>
      </c>
      <c r="T746" s="152">
        <v>45591.395833333336</v>
      </c>
      <c r="U746" s="152">
        <v>45591.488194444442</v>
      </c>
      <c r="V746" s="219">
        <f t="shared" si="439"/>
        <v>0.17708333333575865</v>
      </c>
      <c r="W746" s="203">
        <v>0.20833333333333334</v>
      </c>
      <c r="X746" s="219" t="str">
        <f t="shared" si="440"/>
        <v>00:00</v>
      </c>
      <c r="Y746" s="96">
        <v>0</v>
      </c>
      <c r="Z746" s="96">
        <v>58</v>
      </c>
      <c r="AA746" s="96">
        <f t="shared" si="432"/>
        <v>58</v>
      </c>
      <c r="AB746" s="97">
        <f t="shared" si="433"/>
        <v>0</v>
      </c>
      <c r="AC746" s="97">
        <f t="shared" si="434"/>
        <v>4021.07</v>
      </c>
      <c r="AD746" s="98">
        <v>4021.07</v>
      </c>
      <c r="AE746" s="98">
        <v>4029.8</v>
      </c>
      <c r="AF746" s="98">
        <v>4040.6</v>
      </c>
      <c r="AG746" s="98">
        <f t="shared" si="435"/>
        <v>19.529999999999745</v>
      </c>
      <c r="AH746" s="99">
        <v>672.5</v>
      </c>
      <c r="AI746" s="100">
        <f t="shared" si="436"/>
        <v>2717303.5</v>
      </c>
      <c r="AJ746" s="100">
        <f>(1*AH746)*2</f>
        <v>1345</v>
      </c>
      <c r="AK746" s="100">
        <v>0</v>
      </c>
      <c r="AL746" s="100">
        <v>0</v>
      </c>
      <c r="AM746" s="100">
        <v>0</v>
      </c>
      <c r="AN746" s="100">
        <v>0</v>
      </c>
      <c r="AO746" s="100">
        <v>0</v>
      </c>
      <c r="AP746" s="100">
        <f t="shared" si="438"/>
        <v>135933</v>
      </c>
      <c r="AQ746" s="101">
        <f t="shared" si="431"/>
        <v>2854582</v>
      </c>
      <c r="AR746" s="101">
        <v>0</v>
      </c>
      <c r="AS746" s="101">
        <v>0</v>
      </c>
      <c r="AT746" s="102" t="s">
        <v>33</v>
      </c>
      <c r="AU746" s="109" t="s">
        <v>118</v>
      </c>
      <c r="AV746" s="100">
        <v>0</v>
      </c>
      <c r="AW746" s="105">
        <v>0</v>
      </c>
      <c r="AX746" s="216">
        <f t="shared" si="441"/>
        <v>0.48334405781318979</v>
      </c>
      <c r="AY746" s="217">
        <f t="shared" si="442"/>
        <v>13134</v>
      </c>
      <c r="AZ746" s="107"/>
      <c r="BA746" s="94">
        <v>45591.09375</v>
      </c>
      <c r="BB746" s="94">
        <v>45591.097222222219</v>
      </c>
      <c r="BC746" s="94">
        <v>45591.097222222219</v>
      </c>
      <c r="BD746" s="94">
        <v>45591.208333333336</v>
      </c>
      <c r="BE746" s="95">
        <f t="shared" si="443"/>
        <v>0.11458333333575865</v>
      </c>
      <c r="BF746" s="95">
        <v>0</v>
      </c>
      <c r="BG746" s="95">
        <v>0</v>
      </c>
      <c r="BH746" s="95">
        <f t="shared" si="444"/>
        <v>3.4722222189884633E-3</v>
      </c>
      <c r="BI746" s="95">
        <f t="shared" si="444"/>
        <v>0</v>
      </c>
      <c r="BJ746" s="95">
        <f t="shared" si="444"/>
        <v>0.11111111111677019</v>
      </c>
      <c r="BK746" s="95">
        <f t="shared" si="445"/>
        <v>0.11111111111677019</v>
      </c>
      <c r="BL746" s="95">
        <f t="shared" si="446"/>
        <v>0.11111111111677019</v>
      </c>
      <c r="BM746" s="95" t="str">
        <f t="shared" si="447"/>
        <v>00:00</v>
      </c>
      <c r="BN746" s="110"/>
    </row>
    <row r="747" spans="1:66" s="8" customFormat="1" ht="12.75" customHeight="1" x14ac:dyDescent="0.25">
      <c r="A747" s="150">
        <v>680</v>
      </c>
      <c r="B747" s="150">
        <v>53</v>
      </c>
      <c r="C747" s="90">
        <v>5</v>
      </c>
      <c r="D747" s="111" t="s">
        <v>148</v>
      </c>
      <c r="E747" s="210" t="s">
        <v>929</v>
      </c>
      <c r="F747" s="150" t="s">
        <v>16</v>
      </c>
      <c r="G747" s="150" t="s">
        <v>17</v>
      </c>
      <c r="H747" s="150" t="s">
        <v>150</v>
      </c>
      <c r="I747" s="150" t="s">
        <v>200</v>
      </c>
      <c r="J747" s="151">
        <v>45591</v>
      </c>
      <c r="K747" s="135" t="s">
        <v>122</v>
      </c>
      <c r="L747" s="135">
        <v>461000517</v>
      </c>
      <c r="M747" s="151">
        <v>45591</v>
      </c>
      <c r="N747" s="152">
        <v>45591.302083333336</v>
      </c>
      <c r="O747" s="152">
        <v>45591.302083333336</v>
      </c>
      <c r="P747" s="152">
        <v>45591.305555555555</v>
      </c>
      <c r="Q747" s="152">
        <v>45591.5</v>
      </c>
      <c r="R747" s="152" t="s">
        <v>118</v>
      </c>
      <c r="S747" s="152" t="s">
        <v>118</v>
      </c>
      <c r="T747" s="152">
        <v>45591.583333333336</v>
      </c>
      <c r="U747" s="152">
        <v>45591.65625</v>
      </c>
      <c r="V747" s="219">
        <f t="shared" si="439"/>
        <v>0.19791666666424135</v>
      </c>
      <c r="W747" s="203">
        <v>0.20833333333333334</v>
      </c>
      <c r="X747" s="219" t="str">
        <f t="shared" si="440"/>
        <v>00:00</v>
      </c>
      <c r="Y747" s="96">
        <v>0</v>
      </c>
      <c r="Z747" s="96">
        <v>58</v>
      </c>
      <c r="AA747" s="96">
        <f t="shared" si="432"/>
        <v>58</v>
      </c>
      <c r="AB747" s="97">
        <f t="shared" si="433"/>
        <v>0</v>
      </c>
      <c r="AC747" s="97">
        <f t="shared" si="434"/>
        <v>3996.39</v>
      </c>
      <c r="AD747" s="98">
        <v>3996.39</v>
      </c>
      <c r="AE747" s="98">
        <v>4028.5</v>
      </c>
      <c r="AF747" s="98">
        <v>4034.4</v>
      </c>
      <c r="AG747" s="98">
        <f t="shared" si="435"/>
        <v>38.010000000000218</v>
      </c>
      <c r="AH747" s="99">
        <v>672.5</v>
      </c>
      <c r="AI747" s="100">
        <f t="shared" si="436"/>
        <v>2713134</v>
      </c>
      <c r="AJ747" s="100">
        <f t="shared" ref="AJ747:AJ766" si="449">(0*AH747)*2</f>
        <v>0</v>
      </c>
      <c r="AK747" s="100">
        <v>0</v>
      </c>
      <c r="AL747" s="100">
        <v>24140</v>
      </c>
      <c r="AM747" s="100">
        <v>0</v>
      </c>
      <c r="AN747" s="100">
        <v>0</v>
      </c>
      <c r="AO747" s="100">
        <v>0</v>
      </c>
      <c r="AP747" s="100">
        <f t="shared" si="438"/>
        <v>136864</v>
      </c>
      <c r="AQ747" s="101">
        <f t="shared" si="431"/>
        <v>2874138</v>
      </c>
      <c r="AR747" s="101">
        <v>0</v>
      </c>
      <c r="AS747" s="101">
        <v>0</v>
      </c>
      <c r="AT747" s="102" t="s">
        <v>33</v>
      </c>
      <c r="AU747" s="109">
        <v>2</v>
      </c>
      <c r="AV747" s="100">
        <f>7.72-5.22</f>
        <v>2.5</v>
      </c>
      <c r="AW747" s="105">
        <v>0</v>
      </c>
      <c r="AX747" s="216">
        <f t="shared" si="441"/>
        <v>0.94214753123141526</v>
      </c>
      <c r="AY747" s="217">
        <f t="shared" si="442"/>
        <v>25562</v>
      </c>
      <c r="AZ747" s="107"/>
      <c r="BA747" s="94">
        <v>45591.302083333336</v>
      </c>
      <c r="BB747" s="94">
        <v>45591.305555555555</v>
      </c>
      <c r="BC747" s="94">
        <v>45591.305555555555</v>
      </c>
      <c r="BD747" s="94">
        <v>45591.439583333333</v>
      </c>
      <c r="BE747" s="95">
        <f t="shared" si="443"/>
        <v>0.13749999999708962</v>
      </c>
      <c r="BF747" s="95">
        <v>0</v>
      </c>
      <c r="BG747" s="95">
        <v>1.9444444444444445E-2</v>
      </c>
      <c r="BH747" s="95">
        <f t="shared" si="444"/>
        <v>3.4722222189884633E-3</v>
      </c>
      <c r="BI747" s="95">
        <f t="shared" si="444"/>
        <v>0</v>
      </c>
      <c r="BJ747" s="95">
        <f t="shared" si="444"/>
        <v>0.13402777777810115</v>
      </c>
      <c r="BK747" s="95">
        <f t="shared" si="445"/>
        <v>0.13402777777810115</v>
      </c>
      <c r="BL747" s="95">
        <f t="shared" si="446"/>
        <v>0.11458333333365671</v>
      </c>
      <c r="BM747" s="95" t="str">
        <f t="shared" si="447"/>
        <v>00:00</v>
      </c>
      <c r="BN747" s="110"/>
    </row>
    <row r="748" spans="1:66" s="8" customFormat="1" ht="12.75" customHeight="1" x14ac:dyDescent="0.25">
      <c r="A748" s="115">
        <v>681</v>
      </c>
      <c r="B748" s="115">
        <v>54</v>
      </c>
      <c r="C748" s="90">
        <v>13</v>
      </c>
      <c r="D748" s="115" t="s">
        <v>113</v>
      </c>
      <c r="E748" s="210" t="s">
        <v>849</v>
      </c>
      <c r="F748" s="150" t="s">
        <v>41</v>
      </c>
      <c r="G748" s="150" t="s">
        <v>12</v>
      </c>
      <c r="H748" s="115" t="s">
        <v>115</v>
      </c>
      <c r="I748" s="150" t="s">
        <v>930</v>
      </c>
      <c r="J748" s="151">
        <v>45591</v>
      </c>
      <c r="K748" s="116" t="s">
        <v>117</v>
      </c>
      <c r="L748" s="135">
        <v>282001043</v>
      </c>
      <c r="M748" s="151">
        <v>45592</v>
      </c>
      <c r="N748" s="118">
        <v>45591.8125</v>
      </c>
      <c r="O748" s="118">
        <v>45591.8125</v>
      </c>
      <c r="P748" s="118">
        <v>45591.864583333336</v>
      </c>
      <c r="Q748" s="118">
        <v>45592.0625</v>
      </c>
      <c r="R748" s="118" t="s">
        <v>118</v>
      </c>
      <c r="S748" s="118">
        <v>45592.114583333336</v>
      </c>
      <c r="T748" s="118">
        <v>45592.166666666664</v>
      </c>
      <c r="U748" s="118">
        <v>45592.22152777778</v>
      </c>
      <c r="V748" s="119">
        <f t="shared" si="439"/>
        <v>0.25</v>
      </c>
      <c r="W748" s="185">
        <v>0.20833333333333334</v>
      </c>
      <c r="X748" s="119">
        <f t="shared" si="440"/>
        <v>4.1666666666666657E-2</v>
      </c>
      <c r="Y748" s="96">
        <v>2</v>
      </c>
      <c r="Z748" s="96">
        <v>46</v>
      </c>
      <c r="AA748" s="96">
        <f t="shared" si="432"/>
        <v>48</v>
      </c>
      <c r="AB748" s="97">
        <f t="shared" si="433"/>
        <v>131.77625</v>
      </c>
      <c r="AC748" s="97">
        <f t="shared" si="434"/>
        <v>3030.8537500000002</v>
      </c>
      <c r="AD748" s="98">
        <f>3697.64-535.01</f>
        <v>3162.63</v>
      </c>
      <c r="AE748" s="98">
        <v>3329.8</v>
      </c>
      <c r="AF748" s="98">
        <v>3329.8</v>
      </c>
      <c r="AG748" s="98">
        <f t="shared" si="435"/>
        <v>167.17000000000007</v>
      </c>
      <c r="AH748" s="99">
        <v>1586.7</v>
      </c>
      <c r="AI748" s="100">
        <f t="shared" si="436"/>
        <v>5283393.66</v>
      </c>
      <c r="AJ748" s="100">
        <f t="shared" si="449"/>
        <v>0</v>
      </c>
      <c r="AK748" s="100">
        <v>0</v>
      </c>
      <c r="AL748" s="100">
        <v>0</v>
      </c>
      <c r="AM748" s="100">
        <v>0</v>
      </c>
      <c r="AN748" s="100">
        <v>0</v>
      </c>
      <c r="AO748" s="100">
        <f>IFERROR(AF748*20+(((AJ748/AH748)/2)*20),0)</f>
        <v>66596</v>
      </c>
      <c r="AP748" s="100">
        <f t="shared" si="438"/>
        <v>267500</v>
      </c>
      <c r="AQ748" s="101">
        <f t="shared" si="431"/>
        <v>5617490</v>
      </c>
      <c r="AR748" s="101">
        <v>0</v>
      </c>
      <c r="AS748" s="101">
        <v>0</v>
      </c>
      <c r="AT748" s="102" t="s">
        <v>33</v>
      </c>
      <c r="AU748" s="120" t="s">
        <v>118</v>
      </c>
      <c r="AV748" s="121">
        <v>0</v>
      </c>
      <c r="AW748" s="139">
        <v>1</v>
      </c>
      <c r="AX748" s="140">
        <f>IFERROR(((AG748+AG749)/(AF748+AF749))*100, "")</f>
        <v>4.8030482467432174</v>
      </c>
      <c r="AY748" s="141">
        <f>ROUNDUP((AG748+AG749)*AH748,0)</f>
        <v>296015</v>
      </c>
      <c r="AZ748" s="107"/>
      <c r="BA748" s="118">
        <v>45591.8125</v>
      </c>
      <c r="BB748" s="118">
        <v>45591.864583333336</v>
      </c>
      <c r="BC748" s="118">
        <v>45591.871527777781</v>
      </c>
      <c r="BD748" s="118">
        <v>45592.09375</v>
      </c>
      <c r="BE748" s="119">
        <f t="shared" si="443"/>
        <v>0.28125</v>
      </c>
      <c r="BF748" s="119">
        <v>2.8472222222222222E-2</v>
      </c>
      <c r="BG748" s="119">
        <v>3.1944444444444442E-2</v>
      </c>
      <c r="BH748" s="119">
        <f t="shared" si="444"/>
        <v>5.2083333335758653E-2</v>
      </c>
      <c r="BI748" s="119">
        <f t="shared" si="444"/>
        <v>6.9444444452528842E-3</v>
      </c>
      <c r="BJ748" s="119">
        <f t="shared" si="444"/>
        <v>0.22222222221898846</v>
      </c>
      <c r="BK748" s="119">
        <f t="shared" si="445"/>
        <v>0.22916666666424135</v>
      </c>
      <c r="BL748" s="119">
        <f t="shared" si="446"/>
        <v>0.16874999999757467</v>
      </c>
      <c r="BM748" s="119">
        <f t="shared" si="447"/>
        <v>7.2916666666666657E-2</v>
      </c>
      <c r="BN748" s="110" t="s">
        <v>931</v>
      </c>
    </row>
    <row r="749" spans="1:66" s="8" customFormat="1" ht="12.75" customHeight="1" x14ac:dyDescent="0.25">
      <c r="A749" s="122"/>
      <c r="B749" s="122"/>
      <c r="C749" s="90">
        <v>8</v>
      </c>
      <c r="D749" s="122"/>
      <c r="E749" s="210" t="s">
        <v>771</v>
      </c>
      <c r="F749" s="150" t="s">
        <v>27</v>
      </c>
      <c r="G749" s="150" t="s">
        <v>12</v>
      </c>
      <c r="H749" s="122"/>
      <c r="I749" s="150" t="s">
        <v>932</v>
      </c>
      <c r="J749" s="151">
        <v>45591</v>
      </c>
      <c r="K749" s="123"/>
      <c r="L749" s="135">
        <v>282001044</v>
      </c>
      <c r="M749" s="151">
        <v>45592</v>
      </c>
      <c r="N749" s="125"/>
      <c r="O749" s="125"/>
      <c r="P749" s="125"/>
      <c r="Q749" s="125"/>
      <c r="R749" s="125"/>
      <c r="S749" s="125"/>
      <c r="T749" s="125"/>
      <c r="U749" s="125"/>
      <c r="V749" s="126"/>
      <c r="W749" s="189"/>
      <c r="X749" s="126"/>
      <c r="Y749" s="96">
        <v>2</v>
      </c>
      <c r="Z749" s="96">
        <v>6</v>
      </c>
      <c r="AA749" s="96">
        <f t="shared" si="432"/>
        <v>8</v>
      </c>
      <c r="AB749" s="97">
        <f t="shared" si="433"/>
        <v>133.7525</v>
      </c>
      <c r="AC749" s="97">
        <f t="shared" si="434"/>
        <v>401.25749999999999</v>
      </c>
      <c r="AD749" s="98">
        <v>535.01</v>
      </c>
      <c r="AE749" s="98">
        <v>554</v>
      </c>
      <c r="AF749" s="98">
        <v>554.4</v>
      </c>
      <c r="AG749" s="98">
        <f t="shared" si="435"/>
        <v>19.389999999999986</v>
      </c>
      <c r="AH749" s="99">
        <v>1586.7</v>
      </c>
      <c r="AI749" s="100">
        <f t="shared" si="436"/>
        <v>879666.48</v>
      </c>
      <c r="AJ749" s="100">
        <f t="shared" si="449"/>
        <v>0</v>
      </c>
      <c r="AK749" s="100">
        <v>0</v>
      </c>
      <c r="AL749" s="100">
        <v>0</v>
      </c>
      <c r="AM749" s="100">
        <v>0</v>
      </c>
      <c r="AN749" s="100">
        <v>0</v>
      </c>
      <c r="AO749" s="100">
        <f>IFERROR(AF749*20+(((AJ749/AH749)/2)*20),0)</f>
        <v>11088</v>
      </c>
      <c r="AP749" s="100">
        <f t="shared" si="438"/>
        <v>44538</v>
      </c>
      <c r="AQ749" s="101">
        <f t="shared" si="431"/>
        <v>935293</v>
      </c>
      <c r="AR749" s="101">
        <v>0</v>
      </c>
      <c r="AS749" s="101">
        <v>0</v>
      </c>
      <c r="AT749" s="102" t="s">
        <v>33</v>
      </c>
      <c r="AU749" s="127"/>
      <c r="AV749" s="128"/>
      <c r="AW749" s="143"/>
      <c r="AX749" s="144"/>
      <c r="AY749" s="145"/>
      <c r="AZ749" s="107"/>
      <c r="BA749" s="125"/>
      <c r="BB749" s="125"/>
      <c r="BC749" s="125"/>
      <c r="BD749" s="125"/>
      <c r="BE749" s="126"/>
      <c r="BF749" s="126"/>
      <c r="BG749" s="126"/>
      <c r="BH749" s="126"/>
      <c r="BI749" s="126"/>
      <c r="BJ749" s="126"/>
      <c r="BK749" s="126"/>
      <c r="BL749" s="126"/>
      <c r="BM749" s="126"/>
      <c r="BN749" s="110" t="s">
        <v>933</v>
      </c>
    </row>
    <row r="750" spans="1:66" s="8" customFormat="1" ht="12.75" customHeight="1" x14ac:dyDescent="0.25">
      <c r="A750" s="150">
        <v>682</v>
      </c>
      <c r="B750" s="150">
        <v>55</v>
      </c>
      <c r="C750" s="90">
        <v>17</v>
      </c>
      <c r="D750" s="111" t="s">
        <v>113</v>
      </c>
      <c r="E750" s="210" t="s">
        <v>863</v>
      </c>
      <c r="F750" s="150" t="s">
        <v>32</v>
      </c>
      <c r="G750" s="150" t="s">
        <v>8</v>
      </c>
      <c r="H750" s="150" t="s">
        <v>779</v>
      </c>
      <c r="I750" s="150" t="s">
        <v>934</v>
      </c>
      <c r="J750" s="151">
        <v>45591</v>
      </c>
      <c r="K750" s="135" t="s">
        <v>122</v>
      </c>
      <c r="L750" s="135">
        <v>281000251</v>
      </c>
      <c r="M750" s="151">
        <v>45592</v>
      </c>
      <c r="N750" s="152">
        <v>45592.166666666664</v>
      </c>
      <c r="O750" s="152">
        <v>45592.166666666664</v>
      </c>
      <c r="P750" s="152">
        <v>45592.177083333336</v>
      </c>
      <c r="Q750" s="152">
        <v>45592.364583333336</v>
      </c>
      <c r="R750" s="152" t="s">
        <v>118</v>
      </c>
      <c r="S750" s="152" t="s">
        <v>118</v>
      </c>
      <c r="T750" s="152">
        <v>45592.4375</v>
      </c>
      <c r="U750" s="152">
        <v>45592.594444444447</v>
      </c>
      <c r="V750" s="219">
        <f t="shared" ref="V750:V760" si="450">+Q750-O750</f>
        <v>0.19791666667151731</v>
      </c>
      <c r="W750" s="203">
        <v>0.20833333333333334</v>
      </c>
      <c r="X750" s="219" t="str">
        <f t="shared" ref="X750:X760" si="451">IF(VALUE(V750)&lt;=VALUE("05:00"),"00:00",VALUE(V750)-VALUE("05:00"))</f>
        <v>00:00</v>
      </c>
      <c r="Y750" s="96">
        <v>0</v>
      </c>
      <c r="Z750" s="96">
        <v>58</v>
      </c>
      <c r="AA750" s="96">
        <f t="shared" si="432"/>
        <v>58</v>
      </c>
      <c r="AB750" s="97">
        <f t="shared" si="433"/>
        <v>0</v>
      </c>
      <c r="AC750" s="97">
        <f t="shared" si="434"/>
        <v>3877.29</v>
      </c>
      <c r="AD750" s="98">
        <v>3877.29</v>
      </c>
      <c r="AE750" s="98">
        <v>4038.3</v>
      </c>
      <c r="AF750" s="98">
        <v>4038.4</v>
      </c>
      <c r="AG750" s="98">
        <f t="shared" si="435"/>
        <v>161.11000000000013</v>
      </c>
      <c r="AH750" s="99">
        <v>1435.6</v>
      </c>
      <c r="AI750" s="100">
        <f t="shared" si="436"/>
        <v>5797527.04</v>
      </c>
      <c r="AJ750" s="100">
        <f t="shared" si="449"/>
        <v>0</v>
      </c>
      <c r="AK750" s="100">
        <v>0</v>
      </c>
      <c r="AL750" s="100">
        <v>0</v>
      </c>
      <c r="AM750" s="100">
        <v>0</v>
      </c>
      <c r="AN750" s="100">
        <v>0</v>
      </c>
      <c r="AO750" s="100">
        <v>0</v>
      </c>
      <c r="AP750" s="100">
        <f t="shared" si="438"/>
        <v>289877</v>
      </c>
      <c r="AQ750" s="101">
        <f t="shared" si="431"/>
        <v>6087405</v>
      </c>
      <c r="AR750" s="101">
        <v>0</v>
      </c>
      <c r="AS750" s="101">
        <v>0</v>
      </c>
      <c r="AT750" s="102" t="s">
        <v>33</v>
      </c>
      <c r="AU750" s="109" t="s">
        <v>118</v>
      </c>
      <c r="AV750" s="100">
        <v>0</v>
      </c>
      <c r="AW750" s="105">
        <v>0</v>
      </c>
      <c r="AX750" s="216">
        <f t="shared" ref="AX750:AX759" si="452">IFERROR((AG750/AF750)*100, "")</f>
        <v>3.9894512678288461</v>
      </c>
      <c r="AY750" s="217">
        <f t="shared" ref="AY750:AY759" si="453">ROUNDUP(AG750*AH750,0)</f>
        <v>231290</v>
      </c>
      <c r="AZ750" s="107"/>
      <c r="BA750" s="94">
        <v>45592.166666666664</v>
      </c>
      <c r="BB750" s="94">
        <v>45592.177083333336</v>
      </c>
      <c r="BC750" s="94">
        <v>45592.177083333336</v>
      </c>
      <c r="BD750" s="94">
        <v>45592.331944444442</v>
      </c>
      <c r="BE750" s="95">
        <f t="shared" ref="BE750:BE760" si="454">+BD750-BA750</f>
        <v>0.16527777777810115</v>
      </c>
      <c r="BF750" s="95">
        <v>0</v>
      </c>
      <c r="BG750" s="95">
        <v>1.7361111111111112E-2</v>
      </c>
      <c r="BH750" s="95">
        <f t="shared" ref="BH750:BJ760" si="455">+BB750-BA750</f>
        <v>1.0416666671517305E-2</v>
      </c>
      <c r="BI750" s="95">
        <f t="shared" si="455"/>
        <v>0</v>
      </c>
      <c r="BJ750" s="95">
        <f t="shared" si="455"/>
        <v>0.15486111110658385</v>
      </c>
      <c r="BK750" s="95">
        <f t="shared" ref="BK750:BK760" si="456">+BI750+BJ750</f>
        <v>0.15486111110658385</v>
      </c>
      <c r="BL750" s="95">
        <f t="shared" ref="BL750:BL760" si="457">+BE750-BH750-BF750-BG750</f>
        <v>0.13749999999547274</v>
      </c>
      <c r="BM750" s="95" t="str">
        <f t="shared" ref="BM750:BM760" si="458">IF(VALUE(BE750)&lt;=VALUE("05:00"),"00:00",VALUE(BE750)-VALUE("05:00"))</f>
        <v>00:00</v>
      </c>
      <c r="BN750" s="110"/>
    </row>
    <row r="751" spans="1:66" s="8" customFormat="1" ht="12.75" customHeight="1" x14ac:dyDescent="0.25">
      <c r="A751" s="150">
        <v>683</v>
      </c>
      <c r="B751" s="150">
        <v>56</v>
      </c>
      <c r="C751" s="90">
        <v>6</v>
      </c>
      <c r="D751" s="111" t="s">
        <v>148</v>
      </c>
      <c r="E751" s="210" t="s">
        <v>929</v>
      </c>
      <c r="F751" s="150" t="s">
        <v>16</v>
      </c>
      <c r="G751" s="150" t="s">
        <v>17</v>
      </c>
      <c r="H751" s="150" t="s">
        <v>150</v>
      </c>
      <c r="I751" s="150" t="s">
        <v>206</v>
      </c>
      <c r="J751" s="151">
        <v>45591</v>
      </c>
      <c r="K751" s="135" t="s">
        <v>117</v>
      </c>
      <c r="L751" s="135">
        <v>461000518</v>
      </c>
      <c r="M751" s="151">
        <v>45592</v>
      </c>
      <c r="N751" s="152">
        <v>45592.34375</v>
      </c>
      <c r="O751" s="152">
        <v>45592.34375</v>
      </c>
      <c r="P751" s="152">
        <v>45592.347222222219</v>
      </c>
      <c r="Q751" s="152">
        <v>45592.53125</v>
      </c>
      <c r="R751" s="152" t="s">
        <v>118</v>
      </c>
      <c r="S751" s="152" t="s">
        <v>118</v>
      </c>
      <c r="T751" s="152">
        <v>45592.645833333336</v>
      </c>
      <c r="U751" s="152">
        <v>45592.722916666666</v>
      </c>
      <c r="V751" s="219">
        <f t="shared" si="450"/>
        <v>0.1875</v>
      </c>
      <c r="W751" s="203">
        <v>0.20833333333333334</v>
      </c>
      <c r="X751" s="219" t="str">
        <f t="shared" si="451"/>
        <v>00:00</v>
      </c>
      <c r="Y751" s="96">
        <v>0</v>
      </c>
      <c r="Z751" s="96">
        <v>57</v>
      </c>
      <c r="AA751" s="96">
        <f t="shared" si="432"/>
        <v>57</v>
      </c>
      <c r="AB751" s="97">
        <f t="shared" si="433"/>
        <v>0</v>
      </c>
      <c r="AC751" s="97">
        <f t="shared" si="434"/>
        <v>3886.93</v>
      </c>
      <c r="AD751" s="98">
        <v>3886.93</v>
      </c>
      <c r="AE751" s="98">
        <v>3947.2</v>
      </c>
      <c r="AF751" s="98">
        <v>3948</v>
      </c>
      <c r="AG751" s="98">
        <f t="shared" si="435"/>
        <v>61.070000000000164</v>
      </c>
      <c r="AH751" s="99">
        <v>672.5</v>
      </c>
      <c r="AI751" s="100">
        <f t="shared" si="436"/>
        <v>2655030</v>
      </c>
      <c r="AJ751" s="100">
        <f t="shared" si="449"/>
        <v>0</v>
      </c>
      <c r="AK751" s="100">
        <v>0</v>
      </c>
      <c r="AL751" s="100">
        <v>0</v>
      </c>
      <c r="AM751" s="100">
        <v>0</v>
      </c>
      <c r="AN751" s="100">
        <v>0</v>
      </c>
      <c r="AO751" s="100">
        <v>0</v>
      </c>
      <c r="AP751" s="100">
        <f t="shared" si="438"/>
        <v>132752</v>
      </c>
      <c r="AQ751" s="101">
        <f t="shared" si="431"/>
        <v>2787782</v>
      </c>
      <c r="AR751" s="101">
        <v>0</v>
      </c>
      <c r="AS751" s="101">
        <v>0</v>
      </c>
      <c r="AT751" s="102" t="s">
        <v>33</v>
      </c>
      <c r="AU751" s="109" t="s">
        <v>118</v>
      </c>
      <c r="AV751" s="100">
        <v>0</v>
      </c>
      <c r="AW751" s="105">
        <v>0</v>
      </c>
      <c r="AX751" s="216">
        <f t="shared" si="452"/>
        <v>1.5468591691995988</v>
      </c>
      <c r="AY751" s="217">
        <f t="shared" si="453"/>
        <v>41070</v>
      </c>
      <c r="AZ751" s="107"/>
      <c r="BA751" s="94">
        <v>45592.34375</v>
      </c>
      <c r="BB751" s="94">
        <v>45592.347222222219</v>
      </c>
      <c r="BC751" s="94">
        <v>45592.368055555555</v>
      </c>
      <c r="BD751" s="94">
        <v>45592.482638888891</v>
      </c>
      <c r="BE751" s="95">
        <f t="shared" si="454"/>
        <v>0.13888888889050577</v>
      </c>
      <c r="BF751" s="95">
        <v>1.3888888888888888E-2</v>
      </c>
      <c r="BG751" s="95">
        <v>1.0416666666666666E-2</v>
      </c>
      <c r="BH751" s="95">
        <f t="shared" si="455"/>
        <v>3.4722222189884633E-3</v>
      </c>
      <c r="BI751" s="95">
        <f t="shared" si="455"/>
        <v>2.0833333335758653E-2</v>
      </c>
      <c r="BJ751" s="95">
        <f t="shared" si="455"/>
        <v>0.11458333333575865</v>
      </c>
      <c r="BK751" s="95">
        <f t="shared" si="456"/>
        <v>0.13541666667151731</v>
      </c>
      <c r="BL751" s="95">
        <f t="shared" si="457"/>
        <v>0.11111111111596174</v>
      </c>
      <c r="BM751" s="95" t="str">
        <f t="shared" si="458"/>
        <v>00:00</v>
      </c>
      <c r="BN751" s="110"/>
    </row>
    <row r="752" spans="1:66" s="8" customFormat="1" ht="12.75" customHeight="1" x14ac:dyDescent="0.25">
      <c r="A752" s="150">
        <v>684</v>
      </c>
      <c r="B752" s="150">
        <v>57</v>
      </c>
      <c r="C752" s="90">
        <v>7</v>
      </c>
      <c r="D752" s="111" t="s">
        <v>148</v>
      </c>
      <c r="E752" s="210" t="s">
        <v>929</v>
      </c>
      <c r="F752" s="150" t="s">
        <v>16</v>
      </c>
      <c r="G752" s="150" t="s">
        <v>17</v>
      </c>
      <c r="H752" s="150" t="s">
        <v>150</v>
      </c>
      <c r="I752" s="150" t="s">
        <v>208</v>
      </c>
      <c r="J752" s="151">
        <v>45591</v>
      </c>
      <c r="K752" s="135" t="s">
        <v>122</v>
      </c>
      <c r="L752" s="135">
        <v>461000519</v>
      </c>
      <c r="M752" s="151">
        <v>45593</v>
      </c>
      <c r="N752" s="152">
        <v>45592.666666666664</v>
      </c>
      <c r="O752" s="152">
        <v>45592.666666666664</v>
      </c>
      <c r="P752" s="152">
        <v>45592.673611111109</v>
      </c>
      <c r="Q752" s="152">
        <v>45592.864583333336</v>
      </c>
      <c r="R752" s="152" t="s">
        <v>118</v>
      </c>
      <c r="S752" s="152" t="s">
        <v>118</v>
      </c>
      <c r="T752" s="152">
        <v>45592.916666666664</v>
      </c>
      <c r="U752" s="152">
        <v>45593.052083333336</v>
      </c>
      <c r="V752" s="219">
        <f t="shared" si="450"/>
        <v>0.19791666667151731</v>
      </c>
      <c r="W752" s="203">
        <v>0.20833333333333334</v>
      </c>
      <c r="X752" s="219" t="str">
        <f t="shared" si="451"/>
        <v>00:00</v>
      </c>
      <c r="Y752" s="96">
        <v>0</v>
      </c>
      <c r="Z752" s="96">
        <v>58</v>
      </c>
      <c r="AA752" s="96">
        <f t="shared" si="432"/>
        <v>58</v>
      </c>
      <c r="AB752" s="97">
        <f t="shared" si="433"/>
        <v>0</v>
      </c>
      <c r="AC752" s="97">
        <f t="shared" si="434"/>
        <v>3977.4700000000003</v>
      </c>
      <c r="AD752" s="98">
        <v>3977.47</v>
      </c>
      <c r="AE752" s="98">
        <v>4035.6</v>
      </c>
      <c r="AF752" s="98">
        <v>4038.6</v>
      </c>
      <c r="AG752" s="98">
        <f t="shared" si="435"/>
        <v>61.130000000000109</v>
      </c>
      <c r="AH752" s="99">
        <v>672.5</v>
      </c>
      <c r="AI752" s="100">
        <f t="shared" si="436"/>
        <v>2715958.5</v>
      </c>
      <c r="AJ752" s="100">
        <f t="shared" si="449"/>
        <v>0</v>
      </c>
      <c r="AK752" s="100">
        <v>0</v>
      </c>
      <c r="AL752" s="100">
        <v>24140</v>
      </c>
      <c r="AM752" s="100">
        <v>0</v>
      </c>
      <c r="AN752" s="100">
        <v>0</v>
      </c>
      <c r="AO752" s="100">
        <v>0</v>
      </c>
      <c r="AP752" s="100">
        <f t="shared" si="438"/>
        <v>137005</v>
      </c>
      <c r="AQ752" s="101">
        <f t="shared" si="431"/>
        <v>2877104</v>
      </c>
      <c r="AR752" s="101">
        <v>0</v>
      </c>
      <c r="AS752" s="101">
        <v>0</v>
      </c>
      <c r="AT752" s="102" t="s">
        <v>33</v>
      </c>
      <c r="AU752" s="109">
        <v>1</v>
      </c>
      <c r="AV752" s="100">
        <f>4.2-2.7</f>
        <v>1.5</v>
      </c>
      <c r="AW752" s="105">
        <v>0</v>
      </c>
      <c r="AX752" s="216">
        <f t="shared" si="452"/>
        <v>1.5136433417520949</v>
      </c>
      <c r="AY752" s="217">
        <f t="shared" si="453"/>
        <v>41110</v>
      </c>
      <c r="AZ752" s="107"/>
      <c r="BA752" s="94">
        <v>45592.666666666664</v>
      </c>
      <c r="BB752" s="94">
        <v>45592.673611111109</v>
      </c>
      <c r="BC752" s="94">
        <v>45592.673611111109</v>
      </c>
      <c r="BD752" s="94">
        <v>45592.815972222219</v>
      </c>
      <c r="BE752" s="95">
        <f t="shared" si="454"/>
        <v>0.14930555555474712</v>
      </c>
      <c r="BF752" s="95">
        <v>0</v>
      </c>
      <c r="BG752" s="95">
        <v>2.0833333333333333E-3</v>
      </c>
      <c r="BH752" s="95">
        <f t="shared" si="455"/>
        <v>6.9444444452528842E-3</v>
      </c>
      <c r="BI752" s="95">
        <f t="shared" si="455"/>
        <v>0</v>
      </c>
      <c r="BJ752" s="95">
        <f t="shared" si="455"/>
        <v>0.14236111110949423</v>
      </c>
      <c r="BK752" s="95">
        <f t="shared" si="456"/>
        <v>0.14236111110949423</v>
      </c>
      <c r="BL752" s="95">
        <f t="shared" si="457"/>
        <v>0.14027777777616091</v>
      </c>
      <c r="BM752" s="95" t="str">
        <f t="shared" si="458"/>
        <v>00:00</v>
      </c>
      <c r="BN752" s="110"/>
    </row>
    <row r="753" spans="1:66" s="8" customFormat="1" ht="12.75" customHeight="1" x14ac:dyDescent="0.25">
      <c r="A753" s="150">
        <v>685</v>
      </c>
      <c r="B753" s="150">
        <v>58</v>
      </c>
      <c r="C753" s="90">
        <v>8</v>
      </c>
      <c r="D753" s="111" t="s">
        <v>148</v>
      </c>
      <c r="E753" s="210" t="s">
        <v>929</v>
      </c>
      <c r="F753" s="150" t="s">
        <v>16</v>
      </c>
      <c r="G753" s="150" t="s">
        <v>17</v>
      </c>
      <c r="H753" s="150" t="s">
        <v>150</v>
      </c>
      <c r="I753" s="150" t="s">
        <v>211</v>
      </c>
      <c r="J753" s="151">
        <v>45591</v>
      </c>
      <c r="K753" s="135" t="s">
        <v>117</v>
      </c>
      <c r="L753" s="135">
        <v>461000520</v>
      </c>
      <c r="M753" s="151">
        <v>45593</v>
      </c>
      <c r="N753" s="152">
        <v>45592.822916666664</v>
      </c>
      <c r="O753" s="152">
        <v>45592.822916666664</v>
      </c>
      <c r="P753" s="152">
        <v>45592.826388888891</v>
      </c>
      <c r="Q753" s="152">
        <v>45592.979166666664</v>
      </c>
      <c r="R753" s="152" t="s">
        <v>118</v>
      </c>
      <c r="S753" s="152" t="s">
        <v>118</v>
      </c>
      <c r="T753" s="152">
        <v>45593.055555555555</v>
      </c>
      <c r="U753" s="152">
        <v>45593.19027777778</v>
      </c>
      <c r="V753" s="219">
        <f t="shared" si="450"/>
        <v>0.15625</v>
      </c>
      <c r="W753" s="203">
        <v>0.20833333333333334</v>
      </c>
      <c r="X753" s="219" t="str">
        <f t="shared" si="451"/>
        <v>00:00</v>
      </c>
      <c r="Y753" s="96">
        <v>0</v>
      </c>
      <c r="Z753" s="96">
        <v>58</v>
      </c>
      <c r="AA753" s="96">
        <f t="shared" si="432"/>
        <v>58</v>
      </c>
      <c r="AB753" s="97">
        <f t="shared" si="433"/>
        <v>0</v>
      </c>
      <c r="AC753" s="97">
        <f t="shared" si="434"/>
        <v>3939.8200000000006</v>
      </c>
      <c r="AD753" s="98">
        <v>3939.82</v>
      </c>
      <c r="AE753" s="98">
        <v>4016.6</v>
      </c>
      <c r="AF753" s="98">
        <v>4017</v>
      </c>
      <c r="AG753" s="98">
        <f t="shared" si="435"/>
        <v>77.179999999999836</v>
      </c>
      <c r="AH753" s="99">
        <v>672.5</v>
      </c>
      <c r="AI753" s="100">
        <f t="shared" si="436"/>
        <v>2701432.5</v>
      </c>
      <c r="AJ753" s="100">
        <f t="shared" si="449"/>
        <v>0</v>
      </c>
      <c r="AK753" s="100">
        <v>0</v>
      </c>
      <c r="AL753" s="100">
        <v>0</v>
      </c>
      <c r="AM753" s="100">
        <v>0</v>
      </c>
      <c r="AN753" s="100">
        <v>0</v>
      </c>
      <c r="AO753" s="100">
        <v>0</v>
      </c>
      <c r="AP753" s="100">
        <f t="shared" si="438"/>
        <v>135072</v>
      </c>
      <c r="AQ753" s="101">
        <f t="shared" si="431"/>
        <v>2836505</v>
      </c>
      <c r="AR753" s="101">
        <v>0</v>
      </c>
      <c r="AS753" s="101">
        <v>0</v>
      </c>
      <c r="AT753" s="102" t="s">
        <v>33</v>
      </c>
      <c r="AU753" s="109" t="s">
        <v>118</v>
      </c>
      <c r="AV753" s="100">
        <v>0</v>
      </c>
      <c r="AW753" s="105">
        <v>0</v>
      </c>
      <c r="AX753" s="216">
        <f t="shared" si="452"/>
        <v>1.9213343291013152</v>
      </c>
      <c r="AY753" s="217">
        <f t="shared" si="453"/>
        <v>51904</v>
      </c>
      <c r="AZ753" s="107"/>
      <c r="BA753" s="94">
        <v>45592.822916666664</v>
      </c>
      <c r="BB753" s="94">
        <v>45592.826388888891</v>
      </c>
      <c r="BC753" s="94">
        <v>45592.826388888891</v>
      </c>
      <c r="BD753" s="94">
        <v>45592.950694444444</v>
      </c>
      <c r="BE753" s="95">
        <f t="shared" si="454"/>
        <v>0.12777777777955635</v>
      </c>
      <c r="BF753" s="95">
        <v>0</v>
      </c>
      <c r="BG753" s="95">
        <v>0</v>
      </c>
      <c r="BH753" s="95">
        <f t="shared" si="455"/>
        <v>3.4722222262644209E-3</v>
      </c>
      <c r="BI753" s="95">
        <f t="shared" si="455"/>
        <v>0</v>
      </c>
      <c r="BJ753" s="95">
        <f t="shared" si="455"/>
        <v>0.12430555555329192</v>
      </c>
      <c r="BK753" s="95">
        <f t="shared" si="456"/>
        <v>0.12430555555329192</v>
      </c>
      <c r="BL753" s="95">
        <f t="shared" si="457"/>
        <v>0.12430555555329192</v>
      </c>
      <c r="BM753" s="95" t="str">
        <f t="shared" si="458"/>
        <v>00:00</v>
      </c>
      <c r="BN753" s="110"/>
    </row>
    <row r="754" spans="1:66" s="8" customFormat="1" ht="12.75" customHeight="1" x14ac:dyDescent="0.25">
      <c r="A754" s="150">
        <v>686</v>
      </c>
      <c r="B754" s="150">
        <v>59</v>
      </c>
      <c r="C754" s="90">
        <v>18</v>
      </c>
      <c r="D754" s="111" t="s">
        <v>113</v>
      </c>
      <c r="E754" s="210" t="s">
        <v>863</v>
      </c>
      <c r="F754" s="150" t="s">
        <v>32</v>
      </c>
      <c r="G754" s="150" t="s">
        <v>8</v>
      </c>
      <c r="H754" s="150" t="s">
        <v>783</v>
      </c>
      <c r="I754" s="150" t="s">
        <v>263</v>
      </c>
      <c r="J754" s="151">
        <v>45592</v>
      </c>
      <c r="K754" s="135" t="s">
        <v>122</v>
      </c>
      <c r="L754" s="135">
        <v>281000252</v>
      </c>
      <c r="M754" s="151">
        <v>45593</v>
      </c>
      <c r="N754" s="152">
        <v>45593.09375</v>
      </c>
      <c r="O754" s="152">
        <v>45593.09375</v>
      </c>
      <c r="P754" s="152">
        <v>45593.104166666664</v>
      </c>
      <c r="Q754" s="152">
        <v>45593.28125</v>
      </c>
      <c r="R754" s="152" t="s">
        <v>118</v>
      </c>
      <c r="S754" s="152" t="s">
        <v>118</v>
      </c>
      <c r="T754" s="152">
        <v>45593.291666666664</v>
      </c>
      <c r="U754" s="152">
        <v>45593.399305555555</v>
      </c>
      <c r="V754" s="219">
        <f t="shared" si="450"/>
        <v>0.1875</v>
      </c>
      <c r="W754" s="203">
        <v>0.20833333333333334</v>
      </c>
      <c r="X754" s="219" t="str">
        <f t="shared" si="451"/>
        <v>00:00</v>
      </c>
      <c r="Y754" s="96">
        <v>0</v>
      </c>
      <c r="Z754" s="96">
        <v>59</v>
      </c>
      <c r="AA754" s="96">
        <f t="shared" si="432"/>
        <v>59</v>
      </c>
      <c r="AB754" s="97">
        <f t="shared" si="433"/>
        <v>0</v>
      </c>
      <c r="AC754" s="97">
        <f t="shared" si="434"/>
        <v>3951.88</v>
      </c>
      <c r="AD754" s="98">
        <v>3951.88</v>
      </c>
      <c r="AE754" s="98">
        <v>4093.2</v>
      </c>
      <c r="AF754" s="98">
        <v>4093.2</v>
      </c>
      <c r="AG754" s="98">
        <f t="shared" si="435"/>
        <v>141.31999999999971</v>
      </c>
      <c r="AH754" s="99">
        <v>1228</v>
      </c>
      <c r="AI754" s="100">
        <f t="shared" si="436"/>
        <v>5026449.5999999996</v>
      </c>
      <c r="AJ754" s="100">
        <f t="shared" si="449"/>
        <v>0</v>
      </c>
      <c r="AK754" s="100">
        <v>0</v>
      </c>
      <c r="AL754" s="100">
        <v>0</v>
      </c>
      <c r="AM754" s="100">
        <v>0</v>
      </c>
      <c r="AN754" s="100">
        <v>0</v>
      </c>
      <c r="AO754" s="100">
        <v>0</v>
      </c>
      <c r="AP754" s="100">
        <f t="shared" si="438"/>
        <v>251323</v>
      </c>
      <c r="AQ754" s="101">
        <f t="shared" si="431"/>
        <v>5277773</v>
      </c>
      <c r="AR754" s="101">
        <v>0</v>
      </c>
      <c r="AS754" s="101">
        <v>0</v>
      </c>
      <c r="AT754" s="102" t="s">
        <v>33</v>
      </c>
      <c r="AU754" s="109" t="s">
        <v>118</v>
      </c>
      <c r="AV754" s="100">
        <v>0</v>
      </c>
      <c r="AW754" s="105">
        <v>0</v>
      </c>
      <c r="AX754" s="216">
        <f t="shared" si="452"/>
        <v>3.4525554578324957</v>
      </c>
      <c r="AY754" s="217">
        <f t="shared" si="453"/>
        <v>173541</v>
      </c>
      <c r="AZ754" s="107"/>
      <c r="BA754" s="94">
        <v>45593.09375</v>
      </c>
      <c r="BB754" s="94">
        <v>45593.104166666664</v>
      </c>
      <c r="BC754" s="94">
        <v>45593.104166666664</v>
      </c>
      <c r="BD754" s="94">
        <v>45593.237500000003</v>
      </c>
      <c r="BE754" s="95">
        <f t="shared" si="454"/>
        <v>0.14375000000291038</v>
      </c>
      <c r="BF754" s="95">
        <v>0</v>
      </c>
      <c r="BG754" s="95">
        <v>0</v>
      </c>
      <c r="BH754" s="95">
        <f t="shared" si="455"/>
        <v>1.0416666664241347E-2</v>
      </c>
      <c r="BI754" s="95">
        <f t="shared" si="455"/>
        <v>0</v>
      </c>
      <c r="BJ754" s="95">
        <f t="shared" si="455"/>
        <v>0.13333333333866904</v>
      </c>
      <c r="BK754" s="95">
        <f t="shared" si="456"/>
        <v>0.13333333333866904</v>
      </c>
      <c r="BL754" s="95">
        <f t="shared" si="457"/>
        <v>0.13333333333866904</v>
      </c>
      <c r="BM754" s="95" t="str">
        <f t="shared" si="458"/>
        <v>00:00</v>
      </c>
      <c r="BN754" s="110"/>
    </row>
    <row r="755" spans="1:66" s="8" customFormat="1" ht="12.75" customHeight="1" x14ac:dyDescent="0.25">
      <c r="A755" s="150">
        <v>687</v>
      </c>
      <c r="B755" s="150">
        <v>60</v>
      </c>
      <c r="C755" s="90">
        <v>9</v>
      </c>
      <c r="D755" s="111" t="s">
        <v>148</v>
      </c>
      <c r="E755" s="210" t="s">
        <v>929</v>
      </c>
      <c r="F755" s="150" t="s">
        <v>16</v>
      </c>
      <c r="G755" s="150" t="s">
        <v>17</v>
      </c>
      <c r="H755" s="150" t="s">
        <v>150</v>
      </c>
      <c r="I755" s="150" t="s">
        <v>212</v>
      </c>
      <c r="J755" s="151">
        <v>45592</v>
      </c>
      <c r="K755" s="135" t="s">
        <v>117</v>
      </c>
      <c r="L755" s="135">
        <v>461000521</v>
      </c>
      <c r="M755" s="151">
        <v>45593</v>
      </c>
      <c r="N755" s="152">
        <v>45593.25</v>
      </c>
      <c r="O755" s="152">
        <v>45593.25</v>
      </c>
      <c r="P755" s="152">
        <v>45593.253472222219</v>
      </c>
      <c r="Q755" s="152">
        <v>45593.4375</v>
      </c>
      <c r="R755" s="152" t="s">
        <v>118</v>
      </c>
      <c r="S755" s="152" t="s">
        <v>118</v>
      </c>
      <c r="T755" s="152">
        <v>45593.458333333336</v>
      </c>
      <c r="U755" s="152">
        <v>45593.565972222219</v>
      </c>
      <c r="V755" s="219">
        <f t="shared" si="450"/>
        <v>0.1875</v>
      </c>
      <c r="W755" s="203">
        <v>0.20833333333333334</v>
      </c>
      <c r="X755" s="219" t="str">
        <f t="shared" si="451"/>
        <v>00:00</v>
      </c>
      <c r="Y755" s="96">
        <v>0</v>
      </c>
      <c r="Z755" s="96">
        <v>59</v>
      </c>
      <c r="AA755" s="96">
        <f t="shared" si="432"/>
        <v>59</v>
      </c>
      <c r="AB755" s="97">
        <f t="shared" si="433"/>
        <v>0</v>
      </c>
      <c r="AC755" s="97">
        <f t="shared" si="434"/>
        <v>4034.2499999999995</v>
      </c>
      <c r="AD755" s="98">
        <v>4034.25</v>
      </c>
      <c r="AE755" s="98">
        <v>4096.3999999999996</v>
      </c>
      <c r="AF755" s="98">
        <v>4097.2</v>
      </c>
      <c r="AG755" s="98">
        <f t="shared" si="435"/>
        <v>62.949999999999818</v>
      </c>
      <c r="AH755" s="99">
        <v>672.5</v>
      </c>
      <c r="AI755" s="100">
        <f t="shared" si="436"/>
        <v>2755367</v>
      </c>
      <c r="AJ755" s="100">
        <f t="shared" si="449"/>
        <v>0</v>
      </c>
      <c r="AK755" s="100">
        <v>0</v>
      </c>
      <c r="AL755" s="100">
        <v>0</v>
      </c>
      <c r="AM755" s="100">
        <v>0</v>
      </c>
      <c r="AN755" s="100">
        <v>0</v>
      </c>
      <c r="AO755" s="100">
        <v>0</v>
      </c>
      <c r="AP755" s="100">
        <f t="shared" si="438"/>
        <v>137769</v>
      </c>
      <c r="AQ755" s="101">
        <f t="shared" si="431"/>
        <v>2893136</v>
      </c>
      <c r="AR755" s="101">
        <v>0</v>
      </c>
      <c r="AS755" s="101">
        <v>0</v>
      </c>
      <c r="AT755" s="102" t="s">
        <v>33</v>
      </c>
      <c r="AU755" s="109" t="s">
        <v>118</v>
      </c>
      <c r="AV755" s="100">
        <v>0</v>
      </c>
      <c r="AW755" s="105">
        <v>0</v>
      </c>
      <c r="AX755" s="216">
        <f t="shared" si="452"/>
        <v>1.5364151127599293</v>
      </c>
      <c r="AY755" s="217">
        <f t="shared" si="453"/>
        <v>42334</v>
      </c>
      <c r="AZ755" s="107"/>
      <c r="BA755" s="94">
        <v>45593.25</v>
      </c>
      <c r="BB755" s="94">
        <v>45593.253472222219</v>
      </c>
      <c r="BC755" s="94">
        <v>45593.253472222219</v>
      </c>
      <c r="BD755" s="94">
        <v>45593.371527777781</v>
      </c>
      <c r="BE755" s="95">
        <f t="shared" si="454"/>
        <v>0.12152777778101154</v>
      </c>
      <c r="BF755" s="95">
        <v>0</v>
      </c>
      <c r="BG755" s="95">
        <v>0</v>
      </c>
      <c r="BH755" s="95">
        <f t="shared" si="455"/>
        <v>3.4722222189884633E-3</v>
      </c>
      <c r="BI755" s="95">
        <f t="shared" si="455"/>
        <v>0</v>
      </c>
      <c r="BJ755" s="95">
        <f t="shared" si="455"/>
        <v>0.11805555556202307</v>
      </c>
      <c r="BK755" s="95">
        <f t="shared" si="456"/>
        <v>0.11805555556202307</v>
      </c>
      <c r="BL755" s="95">
        <f t="shared" si="457"/>
        <v>0.11805555556202307</v>
      </c>
      <c r="BM755" s="95" t="str">
        <f t="shared" si="458"/>
        <v>00:00</v>
      </c>
      <c r="BN755" s="110"/>
    </row>
    <row r="756" spans="1:66" s="8" customFormat="1" ht="12.75" customHeight="1" x14ac:dyDescent="0.25">
      <c r="A756" s="150">
        <v>688</v>
      </c>
      <c r="B756" s="150">
        <v>61</v>
      </c>
      <c r="C756" s="90">
        <v>10</v>
      </c>
      <c r="D756" s="111" t="s">
        <v>148</v>
      </c>
      <c r="E756" s="210" t="s">
        <v>929</v>
      </c>
      <c r="F756" s="150" t="s">
        <v>16</v>
      </c>
      <c r="G756" s="150" t="s">
        <v>17</v>
      </c>
      <c r="H756" s="150" t="s">
        <v>150</v>
      </c>
      <c r="I756" s="150" t="s">
        <v>215</v>
      </c>
      <c r="J756" s="151">
        <v>45593</v>
      </c>
      <c r="K756" s="135" t="s">
        <v>122</v>
      </c>
      <c r="L756" s="135">
        <v>461000522</v>
      </c>
      <c r="M756" s="151">
        <v>45593</v>
      </c>
      <c r="N756" s="152">
        <v>45593.447916666664</v>
      </c>
      <c r="O756" s="152">
        <v>45593.447916666664</v>
      </c>
      <c r="P756" s="152">
        <v>45593.454861111109</v>
      </c>
      <c r="Q756" s="152">
        <v>45593.645833333336</v>
      </c>
      <c r="R756" s="152" t="s">
        <v>118</v>
      </c>
      <c r="S756" s="152" t="s">
        <v>118</v>
      </c>
      <c r="T756" s="152">
        <v>45593.666666666664</v>
      </c>
      <c r="U756" s="152">
        <v>45593.777083333334</v>
      </c>
      <c r="V756" s="219">
        <f t="shared" si="450"/>
        <v>0.19791666667151731</v>
      </c>
      <c r="W756" s="203">
        <v>0.20833333333333334</v>
      </c>
      <c r="X756" s="219" t="str">
        <f t="shared" si="451"/>
        <v>00:00</v>
      </c>
      <c r="Y756" s="96">
        <v>0</v>
      </c>
      <c r="Z756" s="96">
        <v>57</v>
      </c>
      <c r="AA756" s="96">
        <f t="shared" si="432"/>
        <v>57</v>
      </c>
      <c r="AB756" s="97">
        <f t="shared" si="433"/>
        <v>0</v>
      </c>
      <c r="AC756" s="97">
        <f t="shared" si="434"/>
        <v>3939.6500000000005</v>
      </c>
      <c r="AD756" s="98">
        <v>3939.65</v>
      </c>
      <c r="AE756" s="98">
        <v>3973.9</v>
      </c>
      <c r="AF756" s="98">
        <v>3979</v>
      </c>
      <c r="AG756" s="98">
        <f t="shared" si="435"/>
        <v>39.349999999999909</v>
      </c>
      <c r="AH756" s="99">
        <v>672.5</v>
      </c>
      <c r="AI756" s="100">
        <f t="shared" si="436"/>
        <v>2675877.5</v>
      </c>
      <c r="AJ756" s="100">
        <f t="shared" si="449"/>
        <v>0</v>
      </c>
      <c r="AK756" s="100">
        <v>0</v>
      </c>
      <c r="AL756" s="100">
        <v>0</v>
      </c>
      <c r="AM756" s="100">
        <v>0</v>
      </c>
      <c r="AN756" s="100">
        <v>0</v>
      </c>
      <c r="AO756" s="100">
        <v>0</v>
      </c>
      <c r="AP756" s="100">
        <f t="shared" si="438"/>
        <v>133794</v>
      </c>
      <c r="AQ756" s="101">
        <f t="shared" si="431"/>
        <v>2809672</v>
      </c>
      <c r="AR756" s="101">
        <v>0</v>
      </c>
      <c r="AS756" s="101">
        <v>0</v>
      </c>
      <c r="AT756" s="102" t="s">
        <v>33</v>
      </c>
      <c r="AU756" s="109" t="s">
        <v>118</v>
      </c>
      <c r="AV756" s="100">
        <v>0</v>
      </c>
      <c r="AW756" s="105">
        <v>0</v>
      </c>
      <c r="AX756" s="216">
        <f t="shared" si="452"/>
        <v>0.98894194521236267</v>
      </c>
      <c r="AY756" s="217">
        <f t="shared" si="453"/>
        <v>26463</v>
      </c>
      <c r="AZ756" s="107"/>
      <c r="BA756" s="94">
        <v>45593.447916666664</v>
      </c>
      <c r="BB756" s="94">
        <v>45593.458333333336</v>
      </c>
      <c r="BC756" s="94">
        <v>45593.458333333336</v>
      </c>
      <c r="BD756" s="94">
        <v>45593.59375</v>
      </c>
      <c r="BE756" s="95">
        <f t="shared" si="454"/>
        <v>0.14583333333575865</v>
      </c>
      <c r="BF756" s="95">
        <v>1.3888888888888888E-2</v>
      </c>
      <c r="BG756" s="95">
        <v>2.0833333333333333E-3</v>
      </c>
      <c r="BH756" s="95">
        <f t="shared" si="455"/>
        <v>1.0416666671517305E-2</v>
      </c>
      <c r="BI756" s="95">
        <f t="shared" si="455"/>
        <v>0</v>
      </c>
      <c r="BJ756" s="95">
        <f t="shared" si="455"/>
        <v>0.13541666666424135</v>
      </c>
      <c r="BK756" s="95">
        <f t="shared" si="456"/>
        <v>0.13541666666424135</v>
      </c>
      <c r="BL756" s="95">
        <f t="shared" si="457"/>
        <v>0.11944444444201911</v>
      </c>
      <c r="BM756" s="95" t="str">
        <f t="shared" si="458"/>
        <v>00:00</v>
      </c>
      <c r="BN756" s="110"/>
    </row>
    <row r="757" spans="1:66" s="8" customFormat="1" ht="12.75" customHeight="1" x14ac:dyDescent="0.25">
      <c r="A757" s="150">
        <v>689</v>
      </c>
      <c r="B757" s="150">
        <v>62</v>
      </c>
      <c r="C757" s="90">
        <v>11</v>
      </c>
      <c r="D757" s="111" t="s">
        <v>148</v>
      </c>
      <c r="E757" s="210" t="s">
        <v>929</v>
      </c>
      <c r="F757" s="150" t="s">
        <v>16</v>
      </c>
      <c r="G757" s="150" t="s">
        <v>17</v>
      </c>
      <c r="H757" s="150" t="s">
        <v>150</v>
      </c>
      <c r="I757" s="150" t="s">
        <v>217</v>
      </c>
      <c r="J757" s="151">
        <v>45593</v>
      </c>
      <c r="K757" s="135" t="s">
        <v>117</v>
      </c>
      <c r="L757" s="135">
        <v>461000523</v>
      </c>
      <c r="M757" s="151">
        <v>45594</v>
      </c>
      <c r="N757" s="152">
        <v>45593.711805555555</v>
      </c>
      <c r="O757" s="152">
        <v>45593.711805555555</v>
      </c>
      <c r="P757" s="152">
        <v>45593.71875</v>
      </c>
      <c r="Q757" s="152">
        <v>45593.895833333336</v>
      </c>
      <c r="R757" s="152" t="s">
        <v>118</v>
      </c>
      <c r="S757" s="152" t="s">
        <v>118</v>
      </c>
      <c r="T757" s="152">
        <v>45593.916666666664</v>
      </c>
      <c r="U757" s="152">
        <v>45594.05972222222</v>
      </c>
      <c r="V757" s="219">
        <f t="shared" si="450"/>
        <v>0.18402777778101154</v>
      </c>
      <c r="W757" s="203">
        <v>0.20833333333333334</v>
      </c>
      <c r="X757" s="219" t="str">
        <f t="shared" si="451"/>
        <v>00:00</v>
      </c>
      <c r="Y757" s="96">
        <v>0</v>
      </c>
      <c r="Z757" s="96">
        <v>58</v>
      </c>
      <c r="AA757" s="96">
        <f t="shared" si="432"/>
        <v>58</v>
      </c>
      <c r="AB757" s="97">
        <f t="shared" si="433"/>
        <v>0</v>
      </c>
      <c r="AC757" s="97">
        <f t="shared" si="434"/>
        <v>3969.0900000000006</v>
      </c>
      <c r="AD757" s="98">
        <v>3969.09</v>
      </c>
      <c r="AE757" s="98">
        <v>4027.3</v>
      </c>
      <c r="AF757" s="98">
        <v>4030.2</v>
      </c>
      <c r="AG757" s="98">
        <f t="shared" si="435"/>
        <v>61.109999999999673</v>
      </c>
      <c r="AH757" s="99">
        <v>672.5</v>
      </c>
      <c r="AI757" s="100">
        <f t="shared" si="436"/>
        <v>2710309.5</v>
      </c>
      <c r="AJ757" s="100">
        <f t="shared" si="449"/>
        <v>0</v>
      </c>
      <c r="AK757" s="100">
        <v>0</v>
      </c>
      <c r="AL757" s="100">
        <v>0</v>
      </c>
      <c r="AM757" s="100">
        <v>0</v>
      </c>
      <c r="AN757" s="100">
        <v>0</v>
      </c>
      <c r="AO757" s="100">
        <v>0</v>
      </c>
      <c r="AP757" s="100">
        <f t="shared" si="438"/>
        <v>135516</v>
      </c>
      <c r="AQ757" s="101">
        <f t="shared" si="431"/>
        <v>2845826</v>
      </c>
      <c r="AR757" s="101">
        <v>0</v>
      </c>
      <c r="AS757" s="101">
        <v>0</v>
      </c>
      <c r="AT757" s="102" t="s">
        <v>33</v>
      </c>
      <c r="AU757" s="109" t="s">
        <v>118</v>
      </c>
      <c r="AV757" s="100">
        <v>0</v>
      </c>
      <c r="AW757" s="105">
        <v>0</v>
      </c>
      <c r="AX757" s="216">
        <f t="shared" si="452"/>
        <v>1.5163019205002153</v>
      </c>
      <c r="AY757" s="217">
        <f t="shared" si="453"/>
        <v>41097</v>
      </c>
      <c r="AZ757" s="107"/>
      <c r="BA757" s="94">
        <v>45593.711805555555</v>
      </c>
      <c r="BB757" s="94">
        <v>45593.71875</v>
      </c>
      <c r="BC757" s="94">
        <v>45593.71875</v>
      </c>
      <c r="BD757" s="94">
        <v>45593.868055555555</v>
      </c>
      <c r="BE757" s="95">
        <f t="shared" si="454"/>
        <v>0.15625</v>
      </c>
      <c r="BF757" s="95">
        <v>0</v>
      </c>
      <c r="BG757" s="95">
        <v>9.0277777777777769E-3</v>
      </c>
      <c r="BH757" s="95">
        <f t="shared" si="455"/>
        <v>6.9444444452528842E-3</v>
      </c>
      <c r="BI757" s="95">
        <f t="shared" si="455"/>
        <v>0</v>
      </c>
      <c r="BJ757" s="95">
        <f t="shared" si="455"/>
        <v>0.14930555555474712</v>
      </c>
      <c r="BK757" s="95">
        <f t="shared" si="456"/>
        <v>0.14930555555474712</v>
      </c>
      <c r="BL757" s="95">
        <f t="shared" si="457"/>
        <v>0.14027777777696934</v>
      </c>
      <c r="BM757" s="95" t="str">
        <f t="shared" si="458"/>
        <v>00:00</v>
      </c>
      <c r="BN757" s="110"/>
    </row>
    <row r="758" spans="1:66" s="8" customFormat="1" ht="12.75" customHeight="1" x14ac:dyDescent="0.25">
      <c r="A758" s="150">
        <v>690</v>
      </c>
      <c r="B758" s="150">
        <v>63</v>
      </c>
      <c r="C758" s="90">
        <v>12</v>
      </c>
      <c r="D758" s="111" t="s">
        <v>148</v>
      </c>
      <c r="E758" s="210" t="s">
        <v>929</v>
      </c>
      <c r="F758" s="150" t="s">
        <v>16</v>
      </c>
      <c r="G758" s="150" t="s">
        <v>17</v>
      </c>
      <c r="H758" s="150" t="s">
        <v>150</v>
      </c>
      <c r="I758" s="150" t="s">
        <v>221</v>
      </c>
      <c r="J758" s="151">
        <v>45593</v>
      </c>
      <c r="K758" s="135" t="s">
        <v>122</v>
      </c>
      <c r="L758" s="135">
        <v>461000524</v>
      </c>
      <c r="M758" s="151">
        <v>45594</v>
      </c>
      <c r="N758" s="152">
        <v>45594.583333333336</v>
      </c>
      <c r="O758" s="152">
        <v>45594.583333333336</v>
      </c>
      <c r="P758" s="152">
        <v>45594.586805555555</v>
      </c>
      <c r="Q758" s="152">
        <v>45594.770833333336</v>
      </c>
      <c r="R758" s="152" t="s">
        <v>118</v>
      </c>
      <c r="S758" s="152" t="s">
        <v>118</v>
      </c>
      <c r="T758" s="152">
        <v>45594.78125</v>
      </c>
      <c r="U758" s="152">
        <v>45594.892361111109</v>
      </c>
      <c r="V758" s="219">
        <f t="shared" si="450"/>
        <v>0.1875</v>
      </c>
      <c r="W758" s="203">
        <v>0.20833333333333334</v>
      </c>
      <c r="X758" s="219" t="str">
        <f t="shared" si="451"/>
        <v>00:00</v>
      </c>
      <c r="Y758" s="96">
        <v>2</v>
      </c>
      <c r="Z758" s="96">
        <v>56</v>
      </c>
      <c r="AA758" s="96">
        <f t="shared" si="432"/>
        <v>58</v>
      </c>
      <c r="AB758" s="97">
        <f t="shared" si="433"/>
        <v>139.07103448275862</v>
      </c>
      <c r="AC758" s="97">
        <f t="shared" si="434"/>
        <v>3893.9889655172415</v>
      </c>
      <c r="AD758" s="98">
        <v>4033.06</v>
      </c>
      <c r="AE758" s="98">
        <v>4021</v>
      </c>
      <c r="AF758" s="98">
        <v>4048.8</v>
      </c>
      <c r="AG758" s="98">
        <f t="shared" si="435"/>
        <v>15.740000000000236</v>
      </c>
      <c r="AH758" s="99">
        <v>672.5</v>
      </c>
      <c r="AI758" s="100">
        <f t="shared" si="436"/>
        <v>2722818</v>
      </c>
      <c r="AJ758" s="100">
        <f t="shared" si="449"/>
        <v>0</v>
      </c>
      <c r="AK758" s="100">
        <v>0</v>
      </c>
      <c r="AL758" s="100">
        <v>8700</v>
      </c>
      <c r="AM758" s="100">
        <v>0</v>
      </c>
      <c r="AN758" s="100">
        <v>0</v>
      </c>
      <c r="AO758" s="100">
        <v>0</v>
      </c>
      <c r="AP758" s="100">
        <f t="shared" si="438"/>
        <v>136576</v>
      </c>
      <c r="AQ758" s="101">
        <f t="shared" si="431"/>
        <v>2868094</v>
      </c>
      <c r="AR758" s="101">
        <v>0</v>
      </c>
      <c r="AS758" s="101">
        <v>0</v>
      </c>
      <c r="AT758" s="102" t="s">
        <v>33</v>
      </c>
      <c r="AU758" s="109">
        <v>17</v>
      </c>
      <c r="AV758" s="100">
        <f>36.25-23.25</f>
        <v>13</v>
      </c>
      <c r="AW758" s="105">
        <v>0</v>
      </c>
      <c r="AX758" s="216">
        <f t="shared" si="452"/>
        <v>0.38875716261608961</v>
      </c>
      <c r="AY758" s="217">
        <f t="shared" si="453"/>
        <v>10586</v>
      </c>
      <c r="AZ758" s="107"/>
      <c r="BA758" s="94">
        <v>45594.583333333336</v>
      </c>
      <c r="BB758" s="94">
        <v>45594.586805555555</v>
      </c>
      <c r="BC758" s="94">
        <v>45594.586805555555</v>
      </c>
      <c r="BD758" s="94">
        <v>45594.714583333334</v>
      </c>
      <c r="BE758" s="95">
        <f t="shared" si="454"/>
        <v>0.13124999999854481</v>
      </c>
      <c r="BF758" s="95">
        <v>0</v>
      </c>
      <c r="BG758" s="95">
        <v>5.5555555555555558E-3</v>
      </c>
      <c r="BH758" s="95">
        <f t="shared" si="455"/>
        <v>3.4722222189884633E-3</v>
      </c>
      <c r="BI758" s="95">
        <f t="shared" si="455"/>
        <v>0</v>
      </c>
      <c r="BJ758" s="95">
        <f t="shared" si="455"/>
        <v>0.12777777777955635</v>
      </c>
      <c r="BK758" s="95">
        <f t="shared" si="456"/>
        <v>0.12777777777955635</v>
      </c>
      <c r="BL758" s="95">
        <f t="shared" si="457"/>
        <v>0.1222222222240008</v>
      </c>
      <c r="BM758" s="95" t="str">
        <f t="shared" si="458"/>
        <v>00:00</v>
      </c>
      <c r="BN758" s="110"/>
    </row>
    <row r="759" spans="1:66" s="8" customFormat="1" ht="12.75" customHeight="1" x14ac:dyDescent="0.25">
      <c r="A759" s="150">
        <v>691</v>
      </c>
      <c r="B759" s="150">
        <v>64</v>
      </c>
      <c r="C759" s="90">
        <v>13</v>
      </c>
      <c r="D759" s="111" t="s">
        <v>148</v>
      </c>
      <c r="E759" s="210" t="s">
        <v>929</v>
      </c>
      <c r="F759" s="150" t="s">
        <v>16</v>
      </c>
      <c r="G759" s="150" t="s">
        <v>17</v>
      </c>
      <c r="H759" s="150" t="s">
        <v>150</v>
      </c>
      <c r="I759" s="150" t="s">
        <v>219</v>
      </c>
      <c r="J759" s="151">
        <v>45595</v>
      </c>
      <c r="K759" s="135" t="s">
        <v>117</v>
      </c>
      <c r="L759" s="135">
        <v>461000525</v>
      </c>
      <c r="M759" s="151">
        <v>45596</v>
      </c>
      <c r="N759" s="152">
        <v>45595.708333333336</v>
      </c>
      <c r="O759" s="152">
        <v>45595.708333333336</v>
      </c>
      <c r="P759" s="152">
        <v>45595.711805555555</v>
      </c>
      <c r="Q759" s="152">
        <v>45595.916666666664</v>
      </c>
      <c r="R759" s="152" t="s">
        <v>118</v>
      </c>
      <c r="S759" s="152" t="s">
        <v>118</v>
      </c>
      <c r="T759" s="152">
        <v>45595.927083333336</v>
      </c>
      <c r="U759" s="152">
        <v>45596.107638888891</v>
      </c>
      <c r="V759" s="219">
        <f t="shared" si="450"/>
        <v>0.20833333332848269</v>
      </c>
      <c r="W759" s="203">
        <v>0.20833333333333334</v>
      </c>
      <c r="X759" s="219" t="str">
        <f t="shared" si="451"/>
        <v>00:00</v>
      </c>
      <c r="Y759" s="96">
        <v>4</v>
      </c>
      <c r="Z759" s="96">
        <v>54</v>
      </c>
      <c r="AA759" s="96">
        <f t="shared" si="432"/>
        <v>58</v>
      </c>
      <c r="AB759" s="97">
        <f t="shared" si="433"/>
        <v>276.99379310344824</v>
      </c>
      <c r="AC759" s="97">
        <f t="shared" si="434"/>
        <v>3739.4162068965511</v>
      </c>
      <c r="AD759" s="98">
        <v>4016.41</v>
      </c>
      <c r="AE759" s="98">
        <v>4027.6</v>
      </c>
      <c r="AF759" s="98">
        <v>4042.4</v>
      </c>
      <c r="AG759" s="98">
        <f t="shared" si="435"/>
        <v>25.990000000000236</v>
      </c>
      <c r="AH759" s="99">
        <v>672.5</v>
      </c>
      <c r="AI759" s="100">
        <f t="shared" si="436"/>
        <v>2718514</v>
      </c>
      <c r="AJ759" s="100">
        <f t="shared" si="449"/>
        <v>0</v>
      </c>
      <c r="AK759" s="100">
        <v>0</v>
      </c>
      <c r="AL759" s="100">
        <v>24140</v>
      </c>
      <c r="AM759" s="100">
        <v>0</v>
      </c>
      <c r="AN759" s="100">
        <v>0</v>
      </c>
      <c r="AO759" s="100">
        <v>0</v>
      </c>
      <c r="AP759" s="100">
        <f t="shared" si="438"/>
        <v>137133</v>
      </c>
      <c r="AQ759" s="101">
        <f t="shared" si="431"/>
        <v>2879787</v>
      </c>
      <c r="AR759" s="101">
        <v>0</v>
      </c>
      <c r="AS759" s="101">
        <v>0</v>
      </c>
      <c r="AT759" s="102" t="s">
        <v>33</v>
      </c>
      <c r="AU759" s="109">
        <v>7</v>
      </c>
      <c r="AV759" s="100">
        <f>24.53-18.34</f>
        <v>6.1900000000000013</v>
      </c>
      <c r="AW759" s="105">
        <v>0</v>
      </c>
      <c r="AX759" s="216">
        <f t="shared" si="452"/>
        <v>0.64293489016426464</v>
      </c>
      <c r="AY759" s="217">
        <f t="shared" si="453"/>
        <v>17479</v>
      </c>
      <c r="AZ759" s="107"/>
      <c r="BA759" s="94">
        <v>45595.708333333336</v>
      </c>
      <c r="BB759" s="94">
        <v>45595.711805555555</v>
      </c>
      <c r="BC759" s="94">
        <v>45595.711805555555</v>
      </c>
      <c r="BD759" s="94">
        <v>45595.857638888891</v>
      </c>
      <c r="BE759" s="95">
        <f t="shared" si="454"/>
        <v>0.14930555555474712</v>
      </c>
      <c r="BF759" s="95">
        <v>3.472222222222222E-3</v>
      </c>
      <c r="BG759" s="95">
        <v>3.472222222222222E-3</v>
      </c>
      <c r="BH759" s="95">
        <f t="shared" si="455"/>
        <v>3.4722222189884633E-3</v>
      </c>
      <c r="BI759" s="95">
        <f t="shared" si="455"/>
        <v>0</v>
      </c>
      <c r="BJ759" s="95">
        <f t="shared" si="455"/>
        <v>0.14583333333575865</v>
      </c>
      <c r="BK759" s="95">
        <f t="shared" si="456"/>
        <v>0.14583333333575865</v>
      </c>
      <c r="BL759" s="95">
        <f t="shared" si="457"/>
        <v>0.13888888889131423</v>
      </c>
      <c r="BM759" s="95" t="str">
        <f t="shared" si="458"/>
        <v>00:00</v>
      </c>
      <c r="BN759" s="110"/>
    </row>
    <row r="760" spans="1:66" s="8" customFormat="1" ht="12.75" customHeight="1" x14ac:dyDescent="0.25">
      <c r="A760" s="115">
        <v>692</v>
      </c>
      <c r="B760" s="115">
        <v>1</v>
      </c>
      <c r="C760" s="90">
        <v>1</v>
      </c>
      <c r="D760" s="115" t="s">
        <v>148</v>
      </c>
      <c r="E760" s="210" t="s">
        <v>935</v>
      </c>
      <c r="F760" s="115" t="s">
        <v>19</v>
      </c>
      <c r="G760" s="115" t="s">
        <v>17</v>
      </c>
      <c r="H760" s="115" t="s">
        <v>150</v>
      </c>
      <c r="I760" s="115" t="s">
        <v>223</v>
      </c>
      <c r="J760" s="117">
        <v>45598</v>
      </c>
      <c r="K760" s="116" t="s">
        <v>122</v>
      </c>
      <c r="L760" s="116">
        <v>461000526</v>
      </c>
      <c r="M760" s="117">
        <v>45599</v>
      </c>
      <c r="N760" s="118">
        <v>45599.125</v>
      </c>
      <c r="O760" s="118">
        <v>45599.125</v>
      </c>
      <c r="P760" s="118">
        <v>45599.131944444445</v>
      </c>
      <c r="Q760" s="118">
        <v>45599.333333333336</v>
      </c>
      <c r="R760" s="118" t="s">
        <v>118</v>
      </c>
      <c r="S760" s="118" t="s">
        <v>118</v>
      </c>
      <c r="T760" s="118">
        <v>45599.458333333336</v>
      </c>
      <c r="U760" s="118">
        <v>45599.572916666664</v>
      </c>
      <c r="V760" s="119">
        <f t="shared" si="450"/>
        <v>0.20833333333575865</v>
      </c>
      <c r="W760" s="185">
        <v>0.20833333333333334</v>
      </c>
      <c r="X760" s="119">
        <f t="shared" si="451"/>
        <v>2.4253099528692701E-12</v>
      </c>
      <c r="Y760" s="96">
        <v>0</v>
      </c>
      <c r="Z760" s="96">
        <v>17</v>
      </c>
      <c r="AA760" s="96">
        <f t="shared" si="432"/>
        <v>17</v>
      </c>
      <c r="AB760" s="97">
        <f t="shared" si="433"/>
        <v>0</v>
      </c>
      <c r="AC760" s="97">
        <f t="shared" si="434"/>
        <v>1257.1899999999996</v>
      </c>
      <c r="AD760" s="98">
        <f>4101.74-2844.55</f>
        <v>1257.1899999999996</v>
      </c>
      <c r="AE760" s="98">
        <f>4097.1-2917.1</f>
        <v>1180.0000000000005</v>
      </c>
      <c r="AF760" s="98">
        <f>4121.2-2844.55</f>
        <v>1276.6499999999996</v>
      </c>
      <c r="AG760" s="98">
        <f t="shared" si="435"/>
        <v>19.460000000000036</v>
      </c>
      <c r="AH760" s="99">
        <v>672.5</v>
      </c>
      <c r="AI760" s="100">
        <f t="shared" si="436"/>
        <v>858547.12499999977</v>
      </c>
      <c r="AJ760" s="100">
        <f t="shared" si="449"/>
        <v>0</v>
      </c>
      <c r="AK760" s="100">
        <v>0</v>
      </c>
      <c r="AL760" s="100">
        <v>24290</v>
      </c>
      <c r="AM760" s="100">
        <v>0</v>
      </c>
      <c r="AN760" s="100">
        <v>0</v>
      </c>
      <c r="AO760" s="100">
        <v>0</v>
      </c>
      <c r="AP760" s="100">
        <f t="shared" si="438"/>
        <v>44142</v>
      </c>
      <c r="AQ760" s="101">
        <f>ROUNDUP(SUM(AI760:AP760),0)-1</f>
        <v>926979</v>
      </c>
      <c r="AR760" s="101">
        <v>0</v>
      </c>
      <c r="AS760" s="101">
        <v>0</v>
      </c>
      <c r="AT760" s="137" t="s">
        <v>33</v>
      </c>
      <c r="AU760" s="120">
        <v>12</v>
      </c>
      <c r="AV760" s="121">
        <f>31.43-20.93</f>
        <v>10.5</v>
      </c>
      <c r="AW760" s="262">
        <v>0</v>
      </c>
      <c r="AX760" s="140">
        <f>IFERROR(((AG760+AG761)/(AF760+AF761))*100, "")</f>
        <v>0.47219256527225167</v>
      </c>
      <c r="AY760" s="141">
        <f>ROUNDUP((AG760+AG761)*AH760,0)</f>
        <v>13087</v>
      </c>
      <c r="AZ760" s="107"/>
      <c r="BA760" s="118">
        <v>45597.125</v>
      </c>
      <c r="BB760" s="118">
        <v>45597.131944444445</v>
      </c>
      <c r="BC760" s="118">
        <v>45597.131944444445</v>
      </c>
      <c r="BD760" s="118">
        <v>45597.277777777781</v>
      </c>
      <c r="BE760" s="119">
        <f t="shared" si="454"/>
        <v>0.15277777778101154</v>
      </c>
      <c r="BF760" s="119">
        <v>0</v>
      </c>
      <c r="BG760" s="119">
        <v>0</v>
      </c>
      <c r="BH760" s="119">
        <f t="shared" si="455"/>
        <v>6.9444444452528842E-3</v>
      </c>
      <c r="BI760" s="119">
        <f t="shared" si="455"/>
        <v>0</v>
      </c>
      <c r="BJ760" s="119">
        <f t="shared" si="455"/>
        <v>0.14583333333575865</v>
      </c>
      <c r="BK760" s="119">
        <f t="shared" si="456"/>
        <v>0.14583333333575865</v>
      </c>
      <c r="BL760" s="119">
        <f t="shared" si="457"/>
        <v>0.14583333333575865</v>
      </c>
      <c r="BM760" s="119" t="str">
        <f t="shared" si="458"/>
        <v>00:00</v>
      </c>
      <c r="BN760" s="110" t="s">
        <v>936</v>
      </c>
    </row>
    <row r="761" spans="1:66" s="8" customFormat="1" ht="12.75" customHeight="1" x14ac:dyDescent="0.25">
      <c r="A761" s="122"/>
      <c r="B761" s="122"/>
      <c r="C761" s="90">
        <v>20</v>
      </c>
      <c r="D761" s="122"/>
      <c r="E761" s="210" t="s">
        <v>840</v>
      </c>
      <c r="F761" s="122"/>
      <c r="G761" s="122"/>
      <c r="H761" s="122"/>
      <c r="I761" s="122"/>
      <c r="J761" s="124"/>
      <c r="K761" s="123"/>
      <c r="L761" s="123"/>
      <c r="M761" s="124"/>
      <c r="N761" s="125"/>
      <c r="O761" s="125"/>
      <c r="P761" s="125"/>
      <c r="Q761" s="125"/>
      <c r="R761" s="125"/>
      <c r="S761" s="125"/>
      <c r="T761" s="125"/>
      <c r="U761" s="125"/>
      <c r="V761" s="126"/>
      <c r="W761" s="189"/>
      <c r="X761" s="126"/>
      <c r="Y761" s="96">
        <v>0</v>
      </c>
      <c r="Z761" s="96">
        <v>42</v>
      </c>
      <c r="AA761" s="96">
        <f t="shared" si="432"/>
        <v>42</v>
      </c>
      <c r="AB761" s="97">
        <f t="shared" si="433"/>
        <v>0</v>
      </c>
      <c r="AC761" s="97">
        <f t="shared" si="434"/>
        <v>2844.55</v>
      </c>
      <c r="AD761" s="98">
        <v>2844.55</v>
      </c>
      <c r="AE761" s="98">
        <v>2917.1</v>
      </c>
      <c r="AF761" s="98">
        <v>2844.55</v>
      </c>
      <c r="AG761" s="98">
        <f t="shared" si="435"/>
        <v>0</v>
      </c>
      <c r="AH761" s="99">
        <v>672.5</v>
      </c>
      <c r="AI761" s="100">
        <f t="shared" si="436"/>
        <v>1912959.8750000002</v>
      </c>
      <c r="AJ761" s="100">
        <f t="shared" si="449"/>
        <v>0</v>
      </c>
      <c r="AK761" s="100">
        <v>0</v>
      </c>
      <c r="AL761" s="100">
        <v>0</v>
      </c>
      <c r="AM761" s="100">
        <v>0</v>
      </c>
      <c r="AN761" s="100">
        <v>0</v>
      </c>
      <c r="AO761" s="100">
        <v>0</v>
      </c>
      <c r="AP761" s="100">
        <f t="shared" si="438"/>
        <v>95648</v>
      </c>
      <c r="AQ761" s="101">
        <f t="shared" ref="AQ761:AQ790" si="459">ROUNDUP(SUM(AI761:AP761),0)</f>
        <v>2008608</v>
      </c>
      <c r="AR761" s="101">
        <v>0</v>
      </c>
      <c r="AS761" s="101">
        <v>0</v>
      </c>
      <c r="AT761" s="138"/>
      <c r="AU761" s="127"/>
      <c r="AV761" s="128"/>
      <c r="AW761" s="262">
        <v>0</v>
      </c>
      <c r="AX761" s="144"/>
      <c r="AY761" s="145"/>
      <c r="AZ761" s="107"/>
      <c r="BA761" s="125"/>
      <c r="BB761" s="125"/>
      <c r="BC761" s="125"/>
      <c r="BD761" s="125"/>
      <c r="BE761" s="126"/>
      <c r="BF761" s="126"/>
      <c r="BG761" s="126"/>
      <c r="BH761" s="126"/>
      <c r="BI761" s="126"/>
      <c r="BJ761" s="126"/>
      <c r="BK761" s="126"/>
      <c r="BL761" s="126"/>
      <c r="BM761" s="126"/>
      <c r="BN761" s="110" t="s">
        <v>937</v>
      </c>
    </row>
    <row r="762" spans="1:66" s="8" customFormat="1" ht="12.75" customHeight="1" x14ac:dyDescent="0.25">
      <c r="A762" s="150">
        <v>693</v>
      </c>
      <c r="B762" s="150">
        <v>2</v>
      </c>
      <c r="C762" s="90">
        <v>2</v>
      </c>
      <c r="D762" s="111" t="s">
        <v>148</v>
      </c>
      <c r="E762" s="210" t="s">
        <v>935</v>
      </c>
      <c r="F762" s="150" t="s">
        <v>19</v>
      </c>
      <c r="G762" s="150" t="s">
        <v>17</v>
      </c>
      <c r="H762" s="150" t="s">
        <v>150</v>
      </c>
      <c r="I762" s="150" t="s">
        <v>225</v>
      </c>
      <c r="J762" s="151">
        <v>45598</v>
      </c>
      <c r="K762" s="135" t="s">
        <v>117</v>
      </c>
      <c r="L762" s="135">
        <v>461000527</v>
      </c>
      <c r="M762" s="151">
        <v>45600</v>
      </c>
      <c r="N762" s="152">
        <v>45599.739583333336</v>
      </c>
      <c r="O762" s="152">
        <v>45599.739583333336</v>
      </c>
      <c r="P762" s="152">
        <v>45599.75</v>
      </c>
      <c r="Q762" s="152">
        <v>45599.916666666664</v>
      </c>
      <c r="R762" s="152" t="s">
        <v>118</v>
      </c>
      <c r="S762" s="152" t="s">
        <v>118</v>
      </c>
      <c r="T762" s="152">
        <v>45599.958333333336</v>
      </c>
      <c r="U762" s="152">
        <v>45600.114583333336</v>
      </c>
      <c r="V762" s="219">
        <f t="shared" ref="V762:V791" si="460">+Q762-O762</f>
        <v>0.17708333332848269</v>
      </c>
      <c r="W762" s="203">
        <v>0.20833333333333334</v>
      </c>
      <c r="X762" s="219" t="str">
        <f t="shared" ref="X762:X791" si="461">IF(VALUE(V762)&lt;=VALUE("05:00"),"00:00",VALUE(V762)-VALUE("05:00"))</f>
        <v>00:00</v>
      </c>
      <c r="Y762" s="96">
        <v>0</v>
      </c>
      <c r="Z762" s="96">
        <v>58</v>
      </c>
      <c r="AA762" s="96">
        <f t="shared" si="432"/>
        <v>58</v>
      </c>
      <c r="AB762" s="97">
        <f t="shared" si="433"/>
        <v>0</v>
      </c>
      <c r="AC762" s="97">
        <f t="shared" si="434"/>
        <v>4067.91</v>
      </c>
      <c r="AD762" s="98">
        <v>4067.91</v>
      </c>
      <c r="AE762" s="98">
        <v>4033.3</v>
      </c>
      <c r="AF762" s="98">
        <v>4079.8</v>
      </c>
      <c r="AG762" s="98">
        <f t="shared" si="435"/>
        <v>11.890000000000327</v>
      </c>
      <c r="AH762" s="99">
        <v>672.5</v>
      </c>
      <c r="AI762" s="100">
        <f t="shared" si="436"/>
        <v>2743665.5</v>
      </c>
      <c r="AJ762" s="100">
        <f t="shared" si="449"/>
        <v>0</v>
      </c>
      <c r="AK762" s="100">
        <v>0</v>
      </c>
      <c r="AL762" s="100">
        <v>17400</v>
      </c>
      <c r="AM762" s="100">
        <v>0</v>
      </c>
      <c r="AN762" s="100">
        <v>0</v>
      </c>
      <c r="AO762" s="100">
        <v>0</v>
      </c>
      <c r="AP762" s="100">
        <f t="shared" si="438"/>
        <v>138054</v>
      </c>
      <c r="AQ762" s="101">
        <f t="shared" si="459"/>
        <v>2899120</v>
      </c>
      <c r="AR762" s="101">
        <v>0</v>
      </c>
      <c r="AS762" s="101">
        <v>0</v>
      </c>
      <c r="AT762" s="102" t="s">
        <v>33</v>
      </c>
      <c r="AU762" s="109">
        <v>35</v>
      </c>
      <c r="AV762" s="100">
        <f>81.97-37.47</f>
        <v>44.5</v>
      </c>
      <c r="AW762" s="262">
        <v>0</v>
      </c>
      <c r="AX762" s="216">
        <f t="shared" ref="AX762:AX790" si="462">IFERROR((AG762/AF762)*100, "")</f>
        <v>0.29143585469876776</v>
      </c>
      <c r="AY762" s="217">
        <f t="shared" ref="AY762:AY790" si="463">ROUNDUP(AG762*AH762,0)</f>
        <v>7997</v>
      </c>
      <c r="AZ762" s="107"/>
      <c r="BA762" s="94">
        <v>45599.739583333336</v>
      </c>
      <c r="BB762" s="94">
        <v>45599.75</v>
      </c>
      <c r="BC762" s="94">
        <v>45599.75</v>
      </c>
      <c r="BD762" s="94">
        <v>45599.911111111112</v>
      </c>
      <c r="BE762" s="95">
        <f t="shared" ref="BE762:BE791" si="464">+BD762-BA762</f>
        <v>0.17152777777664596</v>
      </c>
      <c r="BF762" s="95">
        <v>1.3888888888888888E-2</v>
      </c>
      <c r="BG762" s="95">
        <v>6.2500000000000003E-3</v>
      </c>
      <c r="BH762" s="95">
        <f t="shared" ref="BH762:BJ791" si="465">+BB762-BA762</f>
        <v>1.0416666664241347E-2</v>
      </c>
      <c r="BI762" s="95">
        <f t="shared" si="465"/>
        <v>0</v>
      </c>
      <c r="BJ762" s="95">
        <f t="shared" si="465"/>
        <v>0.16111111111240461</v>
      </c>
      <c r="BK762" s="95">
        <f t="shared" ref="BK762:BK791" si="466">+BI762+BJ762</f>
        <v>0.16111111111240461</v>
      </c>
      <c r="BL762" s="95">
        <f t="shared" ref="BL762:BL791" si="467">+BE762-BH762-BF762-BG762</f>
        <v>0.14097222222351571</v>
      </c>
      <c r="BM762" s="95" t="str">
        <f t="shared" ref="BM762:BM791" si="468">IF(VALUE(BE762)&lt;=VALUE("05:00"),"00:00",VALUE(BE762)-VALUE("05:00"))</f>
        <v>00:00</v>
      </c>
      <c r="BN762" s="110"/>
    </row>
    <row r="763" spans="1:66" s="8" customFormat="1" ht="12.75" customHeight="1" x14ac:dyDescent="0.25">
      <c r="A763" s="150">
        <v>694</v>
      </c>
      <c r="B763" s="150">
        <v>3</v>
      </c>
      <c r="C763" s="90">
        <v>3</v>
      </c>
      <c r="D763" s="111" t="s">
        <v>148</v>
      </c>
      <c r="E763" s="210" t="s">
        <v>935</v>
      </c>
      <c r="F763" s="150" t="s">
        <v>19</v>
      </c>
      <c r="G763" s="150" t="s">
        <v>17</v>
      </c>
      <c r="H763" s="150" t="s">
        <v>150</v>
      </c>
      <c r="I763" s="150" t="s">
        <v>938</v>
      </c>
      <c r="J763" s="151">
        <v>45598</v>
      </c>
      <c r="K763" s="135" t="s">
        <v>122</v>
      </c>
      <c r="L763" s="135">
        <v>461000528</v>
      </c>
      <c r="M763" s="151">
        <v>45600</v>
      </c>
      <c r="N763" s="152">
        <v>45600.135416666664</v>
      </c>
      <c r="O763" s="152">
        <v>45600.135416666664</v>
      </c>
      <c r="P763" s="152">
        <v>45600.138888888891</v>
      </c>
      <c r="Q763" s="152">
        <v>45600.3125</v>
      </c>
      <c r="R763" s="152" t="s">
        <v>118</v>
      </c>
      <c r="S763" s="152" t="s">
        <v>118</v>
      </c>
      <c r="T763" s="152">
        <v>45600.333333333336</v>
      </c>
      <c r="U763" s="152">
        <v>45600.567361111112</v>
      </c>
      <c r="V763" s="219">
        <f t="shared" si="460"/>
        <v>0.17708333333575865</v>
      </c>
      <c r="W763" s="203">
        <v>0.20833333333333334</v>
      </c>
      <c r="X763" s="219" t="str">
        <f t="shared" si="461"/>
        <v>00:00</v>
      </c>
      <c r="Y763" s="96">
        <v>4</v>
      </c>
      <c r="Z763" s="96">
        <v>54</v>
      </c>
      <c r="AA763" s="96">
        <f t="shared" si="432"/>
        <v>58</v>
      </c>
      <c r="AB763" s="97">
        <f t="shared" si="433"/>
        <v>279.84482758620692</v>
      </c>
      <c r="AC763" s="97">
        <f t="shared" si="434"/>
        <v>3777.9051724137935</v>
      </c>
      <c r="AD763" s="98">
        <v>4057.75</v>
      </c>
      <c r="AE763" s="98">
        <v>4037.1</v>
      </c>
      <c r="AF763" s="98">
        <v>4068.6</v>
      </c>
      <c r="AG763" s="98">
        <f t="shared" si="435"/>
        <v>10.849999999999909</v>
      </c>
      <c r="AH763" s="99">
        <v>672.5</v>
      </c>
      <c r="AI763" s="100">
        <f t="shared" si="436"/>
        <v>2736133.5</v>
      </c>
      <c r="AJ763" s="100">
        <f t="shared" si="449"/>
        <v>0</v>
      </c>
      <c r="AK763" s="100">
        <v>0</v>
      </c>
      <c r="AL763" s="100">
        <v>55020</v>
      </c>
      <c r="AM763" s="100">
        <v>0</v>
      </c>
      <c r="AN763" s="100">
        <v>0</v>
      </c>
      <c r="AO763" s="100">
        <v>0</v>
      </c>
      <c r="AP763" s="100">
        <f t="shared" ref="AP763:AP790" si="469">ROUNDUP(SUM(AI763:AO763)*5%,0)</f>
        <v>139558</v>
      </c>
      <c r="AQ763" s="101">
        <f t="shared" si="459"/>
        <v>2930712</v>
      </c>
      <c r="AR763" s="101">
        <v>0</v>
      </c>
      <c r="AS763" s="101">
        <v>0</v>
      </c>
      <c r="AT763" s="102" t="s">
        <v>33</v>
      </c>
      <c r="AU763" s="109">
        <v>19</v>
      </c>
      <c r="AV763" s="100">
        <f>50.7-28.7</f>
        <v>22.000000000000004</v>
      </c>
      <c r="AW763" s="262">
        <v>0</v>
      </c>
      <c r="AX763" s="216">
        <f t="shared" si="462"/>
        <v>0.26667649805829791</v>
      </c>
      <c r="AY763" s="217">
        <f t="shared" si="463"/>
        <v>7297</v>
      </c>
      <c r="AZ763" s="107"/>
      <c r="BA763" s="94">
        <v>45600.135416666664</v>
      </c>
      <c r="BB763" s="94">
        <v>45600.138888888891</v>
      </c>
      <c r="BC763" s="94">
        <v>45600.138888888891</v>
      </c>
      <c r="BD763" s="94">
        <v>45600.287499999999</v>
      </c>
      <c r="BE763" s="95">
        <f t="shared" si="464"/>
        <v>0.15208333333430346</v>
      </c>
      <c r="BF763" s="95">
        <v>0</v>
      </c>
      <c r="BG763" s="95">
        <v>0</v>
      </c>
      <c r="BH763" s="95">
        <f t="shared" si="465"/>
        <v>3.4722222262644209E-3</v>
      </c>
      <c r="BI763" s="95">
        <f t="shared" si="465"/>
        <v>0</v>
      </c>
      <c r="BJ763" s="95">
        <f t="shared" si="465"/>
        <v>0.14861111110803904</v>
      </c>
      <c r="BK763" s="95">
        <f t="shared" si="466"/>
        <v>0.14861111110803904</v>
      </c>
      <c r="BL763" s="95">
        <f t="shared" si="467"/>
        <v>0.14861111110803904</v>
      </c>
      <c r="BM763" s="95" t="str">
        <f t="shared" si="468"/>
        <v>00:00</v>
      </c>
      <c r="BN763" s="110"/>
    </row>
    <row r="764" spans="1:66" s="8" customFormat="1" ht="12.75" customHeight="1" x14ac:dyDescent="0.25">
      <c r="A764" s="150">
        <v>695</v>
      </c>
      <c r="B764" s="150">
        <v>4</v>
      </c>
      <c r="C764" s="90">
        <v>4</v>
      </c>
      <c r="D764" s="111" t="s">
        <v>148</v>
      </c>
      <c r="E764" s="210" t="s">
        <v>935</v>
      </c>
      <c r="F764" s="150" t="s">
        <v>19</v>
      </c>
      <c r="G764" s="150" t="s">
        <v>17</v>
      </c>
      <c r="H764" s="150" t="s">
        <v>150</v>
      </c>
      <c r="I764" s="150" t="s">
        <v>224</v>
      </c>
      <c r="J764" s="151">
        <v>45600</v>
      </c>
      <c r="K764" s="135" t="s">
        <v>122</v>
      </c>
      <c r="L764" s="135">
        <v>461000529</v>
      </c>
      <c r="M764" s="151">
        <v>45601</v>
      </c>
      <c r="N764" s="152">
        <v>45600.59375</v>
      </c>
      <c r="O764" s="152">
        <v>45600.59375</v>
      </c>
      <c r="P764" s="152">
        <v>45600.604166666664</v>
      </c>
      <c r="Q764" s="152">
        <v>45600.78125</v>
      </c>
      <c r="R764" s="152" t="s">
        <v>118</v>
      </c>
      <c r="S764" s="152" t="s">
        <v>118</v>
      </c>
      <c r="T764" s="152">
        <v>45600.916666666664</v>
      </c>
      <c r="U764" s="152">
        <v>45601.125</v>
      </c>
      <c r="V764" s="219">
        <f t="shared" si="460"/>
        <v>0.1875</v>
      </c>
      <c r="W764" s="203">
        <v>0.20833333333333334</v>
      </c>
      <c r="X764" s="219" t="str">
        <f t="shared" si="461"/>
        <v>00:00</v>
      </c>
      <c r="Y764" s="96">
        <v>0</v>
      </c>
      <c r="Z764" s="96">
        <v>58</v>
      </c>
      <c r="AA764" s="96">
        <f t="shared" si="432"/>
        <v>58</v>
      </c>
      <c r="AB764" s="97">
        <f t="shared" si="433"/>
        <v>0</v>
      </c>
      <c r="AC764" s="97">
        <f t="shared" si="434"/>
        <v>4063.85</v>
      </c>
      <c r="AD764" s="98">
        <v>4063.85</v>
      </c>
      <c r="AE764" s="98">
        <v>4028.1</v>
      </c>
      <c r="AF764" s="98">
        <v>4077.4</v>
      </c>
      <c r="AG764" s="98">
        <f t="shared" si="435"/>
        <v>13.550000000000182</v>
      </c>
      <c r="AH764" s="99">
        <v>672.5</v>
      </c>
      <c r="AI764" s="100">
        <f t="shared" si="436"/>
        <v>2742051.5</v>
      </c>
      <c r="AJ764" s="100">
        <f t="shared" si="449"/>
        <v>0</v>
      </c>
      <c r="AK764" s="100">
        <v>0</v>
      </c>
      <c r="AL764" s="100">
        <v>48280</v>
      </c>
      <c r="AM764" s="100">
        <v>0</v>
      </c>
      <c r="AN764" s="100">
        <v>0</v>
      </c>
      <c r="AO764" s="100">
        <v>0</v>
      </c>
      <c r="AP764" s="100">
        <f t="shared" si="469"/>
        <v>139517</v>
      </c>
      <c r="AQ764" s="101">
        <f t="shared" si="459"/>
        <v>2929849</v>
      </c>
      <c r="AR764" s="101">
        <v>0</v>
      </c>
      <c r="AS764" s="101">
        <v>0</v>
      </c>
      <c r="AT764" s="102" t="s">
        <v>33</v>
      </c>
      <c r="AU764" s="109">
        <v>42</v>
      </c>
      <c r="AV764" s="100">
        <f>91.57-39.07</f>
        <v>52.499999999999993</v>
      </c>
      <c r="AW764" s="262">
        <v>0</v>
      </c>
      <c r="AX764" s="216">
        <f t="shared" si="462"/>
        <v>0.33231961544121696</v>
      </c>
      <c r="AY764" s="217">
        <f t="shared" si="463"/>
        <v>9113</v>
      </c>
      <c r="AZ764" s="107"/>
      <c r="BA764" s="94">
        <v>45600.59375</v>
      </c>
      <c r="BB764" s="94">
        <v>45600.604166666664</v>
      </c>
      <c r="BC764" s="94">
        <v>45600.604166666664</v>
      </c>
      <c r="BD764" s="94">
        <v>45600.767361111109</v>
      </c>
      <c r="BE764" s="95">
        <f t="shared" si="464"/>
        <v>0.17361111110949423</v>
      </c>
      <c r="BF764" s="95">
        <v>2.9166666666666667E-2</v>
      </c>
      <c r="BG764" s="95">
        <v>0</v>
      </c>
      <c r="BH764" s="95">
        <f t="shared" si="465"/>
        <v>1.0416666664241347E-2</v>
      </c>
      <c r="BI764" s="95">
        <f t="shared" si="465"/>
        <v>0</v>
      </c>
      <c r="BJ764" s="95">
        <f t="shared" si="465"/>
        <v>0.16319444444525288</v>
      </c>
      <c r="BK764" s="95">
        <f t="shared" si="466"/>
        <v>0.16319444444525288</v>
      </c>
      <c r="BL764" s="95">
        <f t="shared" si="467"/>
        <v>0.13402777777858621</v>
      </c>
      <c r="BM764" s="95" t="str">
        <f t="shared" si="468"/>
        <v>00:00</v>
      </c>
      <c r="BN764" s="110"/>
    </row>
    <row r="765" spans="1:66" s="8" customFormat="1" ht="12.75" customHeight="1" x14ac:dyDescent="0.25">
      <c r="A765" s="150">
        <v>696</v>
      </c>
      <c r="B765" s="150">
        <v>5</v>
      </c>
      <c r="C765" s="90">
        <v>5</v>
      </c>
      <c r="D765" s="111" t="s">
        <v>148</v>
      </c>
      <c r="E765" s="210" t="s">
        <v>935</v>
      </c>
      <c r="F765" s="150" t="s">
        <v>19</v>
      </c>
      <c r="G765" s="150" t="s">
        <v>17</v>
      </c>
      <c r="H765" s="150" t="s">
        <v>150</v>
      </c>
      <c r="I765" s="150" t="s">
        <v>227</v>
      </c>
      <c r="J765" s="151">
        <v>45600</v>
      </c>
      <c r="K765" s="135" t="s">
        <v>117</v>
      </c>
      <c r="L765" s="135">
        <v>461000530</v>
      </c>
      <c r="M765" s="151">
        <v>45601</v>
      </c>
      <c r="N765" s="152">
        <v>45600.78125</v>
      </c>
      <c r="O765" s="152">
        <v>45600.78125</v>
      </c>
      <c r="P765" s="152">
        <v>45600.798611111109</v>
      </c>
      <c r="Q765" s="152">
        <v>45600.979166666664</v>
      </c>
      <c r="R765" s="152" t="s">
        <v>118</v>
      </c>
      <c r="S765" s="152" t="s">
        <v>118</v>
      </c>
      <c r="T765" s="152">
        <v>45601.0625</v>
      </c>
      <c r="U765" s="152">
        <v>45601.208333333336</v>
      </c>
      <c r="V765" s="219">
        <f t="shared" si="460"/>
        <v>0.19791666666424135</v>
      </c>
      <c r="W765" s="203">
        <v>0.20833333333333334</v>
      </c>
      <c r="X765" s="219" t="str">
        <f t="shared" si="461"/>
        <v>00:00</v>
      </c>
      <c r="Y765" s="96">
        <v>0</v>
      </c>
      <c r="Z765" s="96">
        <v>59</v>
      </c>
      <c r="AA765" s="96">
        <f t="shared" si="432"/>
        <v>59</v>
      </c>
      <c r="AB765" s="97">
        <f t="shared" si="433"/>
        <v>0</v>
      </c>
      <c r="AC765" s="97">
        <f t="shared" si="434"/>
        <v>4124.43</v>
      </c>
      <c r="AD765" s="98">
        <v>4124.43</v>
      </c>
      <c r="AE765" s="98">
        <v>4124.8999999999996</v>
      </c>
      <c r="AF765" s="98">
        <v>4144.2</v>
      </c>
      <c r="AG765" s="98">
        <f t="shared" si="435"/>
        <v>19.769999999999527</v>
      </c>
      <c r="AH765" s="99">
        <v>672.5</v>
      </c>
      <c r="AI765" s="100">
        <f t="shared" si="436"/>
        <v>2786974.5</v>
      </c>
      <c r="AJ765" s="100">
        <f t="shared" si="449"/>
        <v>0</v>
      </c>
      <c r="AK765" s="100">
        <v>0</v>
      </c>
      <c r="AL765" s="100">
        <v>24290</v>
      </c>
      <c r="AM765" s="100">
        <v>0</v>
      </c>
      <c r="AN765" s="100">
        <v>0</v>
      </c>
      <c r="AO765" s="100">
        <v>0</v>
      </c>
      <c r="AP765" s="100">
        <f t="shared" si="469"/>
        <v>140564</v>
      </c>
      <c r="AQ765" s="101">
        <f t="shared" si="459"/>
        <v>2951829</v>
      </c>
      <c r="AR765" s="101">
        <v>0</v>
      </c>
      <c r="AS765" s="101">
        <v>0</v>
      </c>
      <c r="AT765" s="102" t="s">
        <v>33</v>
      </c>
      <c r="AU765" s="109">
        <v>8</v>
      </c>
      <c r="AV765" s="100">
        <f>22.69-17.19</f>
        <v>5.5</v>
      </c>
      <c r="AW765" s="262">
        <v>0</v>
      </c>
      <c r="AX765" s="216">
        <f t="shared" si="462"/>
        <v>0.47705226581727544</v>
      </c>
      <c r="AY765" s="217">
        <f t="shared" si="463"/>
        <v>13296</v>
      </c>
      <c r="AZ765" s="107"/>
      <c r="BA765" s="94">
        <v>45600.78125</v>
      </c>
      <c r="BB765" s="94">
        <v>45600.798611111109</v>
      </c>
      <c r="BC765" s="94">
        <v>45600.798611111109</v>
      </c>
      <c r="BD765" s="94">
        <v>45600.951388888891</v>
      </c>
      <c r="BE765" s="95">
        <f t="shared" si="464"/>
        <v>0.17013888889050577</v>
      </c>
      <c r="BF765" s="95">
        <v>0</v>
      </c>
      <c r="BG765" s="95">
        <v>0</v>
      </c>
      <c r="BH765" s="95">
        <f t="shared" si="465"/>
        <v>1.7361111109494232E-2</v>
      </c>
      <c r="BI765" s="95">
        <f t="shared" si="465"/>
        <v>0</v>
      </c>
      <c r="BJ765" s="95">
        <f t="shared" si="465"/>
        <v>0.15277777778101154</v>
      </c>
      <c r="BK765" s="95">
        <f t="shared" si="466"/>
        <v>0.15277777778101154</v>
      </c>
      <c r="BL765" s="95">
        <f t="shared" si="467"/>
        <v>0.15277777778101154</v>
      </c>
      <c r="BM765" s="95" t="str">
        <f t="shared" si="468"/>
        <v>00:00</v>
      </c>
      <c r="BN765" s="110"/>
    </row>
    <row r="766" spans="1:66" s="8" customFormat="1" ht="12.75" customHeight="1" x14ac:dyDescent="0.25">
      <c r="A766" s="150">
        <v>697</v>
      </c>
      <c r="B766" s="150">
        <v>6</v>
      </c>
      <c r="C766" s="90">
        <v>19</v>
      </c>
      <c r="D766" s="111" t="s">
        <v>113</v>
      </c>
      <c r="E766" s="210" t="s">
        <v>863</v>
      </c>
      <c r="F766" s="150" t="s">
        <v>32</v>
      </c>
      <c r="G766" s="150" t="s">
        <v>8</v>
      </c>
      <c r="H766" s="150" t="s">
        <v>779</v>
      </c>
      <c r="I766" s="150" t="s">
        <v>939</v>
      </c>
      <c r="J766" s="151">
        <v>45600</v>
      </c>
      <c r="K766" s="135" t="s">
        <v>122</v>
      </c>
      <c r="L766" s="135">
        <v>281000253</v>
      </c>
      <c r="M766" s="151">
        <v>45601</v>
      </c>
      <c r="N766" s="152">
        <v>45601.166666666664</v>
      </c>
      <c r="O766" s="152">
        <v>45601.166666666664</v>
      </c>
      <c r="P766" s="152">
        <v>45601.1875</v>
      </c>
      <c r="Q766" s="152">
        <v>45601.333333333336</v>
      </c>
      <c r="R766" s="152" t="s">
        <v>118</v>
      </c>
      <c r="S766" s="152" t="s">
        <v>118</v>
      </c>
      <c r="T766" s="152">
        <v>45601.520833333336</v>
      </c>
      <c r="U766" s="152">
        <v>45601.602083333331</v>
      </c>
      <c r="V766" s="219">
        <f t="shared" si="460"/>
        <v>0.16666666667151731</v>
      </c>
      <c r="W766" s="203">
        <v>0.20833333333333334</v>
      </c>
      <c r="X766" s="219" t="str">
        <f t="shared" si="461"/>
        <v>00:00</v>
      </c>
      <c r="Y766" s="96">
        <v>1</v>
      </c>
      <c r="Z766" s="96">
        <v>57</v>
      </c>
      <c r="AA766" s="96">
        <f t="shared" si="432"/>
        <v>58</v>
      </c>
      <c r="AB766" s="97">
        <f t="shared" si="433"/>
        <v>65.391724137931035</v>
      </c>
      <c r="AC766" s="97">
        <f t="shared" si="434"/>
        <v>3727.3282758620689</v>
      </c>
      <c r="AD766" s="98">
        <v>3792.72</v>
      </c>
      <c r="AE766" s="98">
        <v>3994</v>
      </c>
      <c r="AF766" s="98">
        <v>3995</v>
      </c>
      <c r="AG766" s="98">
        <f t="shared" si="435"/>
        <v>202.2800000000002</v>
      </c>
      <c r="AH766" s="99">
        <v>1435.6</v>
      </c>
      <c r="AI766" s="100">
        <f t="shared" si="436"/>
        <v>5735222</v>
      </c>
      <c r="AJ766" s="100">
        <f t="shared" si="449"/>
        <v>0</v>
      </c>
      <c r="AK766" s="100">
        <f>(2.5*AH766)*3.8</f>
        <v>13638.199999999999</v>
      </c>
      <c r="AL766" s="100">
        <v>0</v>
      </c>
      <c r="AM766" s="100">
        <v>0</v>
      </c>
      <c r="AN766" s="100">
        <v>0</v>
      </c>
      <c r="AO766" s="100">
        <v>0</v>
      </c>
      <c r="AP766" s="100">
        <f t="shared" si="469"/>
        <v>287444</v>
      </c>
      <c r="AQ766" s="101">
        <f t="shared" si="459"/>
        <v>6036305</v>
      </c>
      <c r="AR766" s="101">
        <v>0</v>
      </c>
      <c r="AS766" s="101">
        <v>0</v>
      </c>
      <c r="AT766" s="102" t="s">
        <v>33</v>
      </c>
      <c r="AU766" s="109" t="s">
        <v>118</v>
      </c>
      <c r="AV766" s="100">
        <v>0</v>
      </c>
      <c r="AW766" s="262">
        <v>0</v>
      </c>
      <c r="AX766" s="216">
        <f t="shared" si="462"/>
        <v>5.0633291614518194</v>
      </c>
      <c r="AY766" s="217">
        <f t="shared" si="463"/>
        <v>290394</v>
      </c>
      <c r="AZ766" s="107"/>
      <c r="BA766" s="94">
        <v>45601.166666666664</v>
      </c>
      <c r="BB766" s="94">
        <v>45601.1875</v>
      </c>
      <c r="BC766" s="94">
        <v>45601.1875</v>
      </c>
      <c r="BD766" s="94">
        <v>45601.3125</v>
      </c>
      <c r="BE766" s="95">
        <f t="shared" si="464"/>
        <v>0.14583333333575865</v>
      </c>
      <c r="BF766" s="95">
        <v>3.472222222222222E-3</v>
      </c>
      <c r="BG766" s="95">
        <v>0</v>
      </c>
      <c r="BH766" s="95">
        <f t="shared" si="465"/>
        <v>2.0833333335758653E-2</v>
      </c>
      <c r="BI766" s="95">
        <f t="shared" si="465"/>
        <v>0</v>
      </c>
      <c r="BJ766" s="95">
        <f t="shared" si="465"/>
        <v>0.125</v>
      </c>
      <c r="BK766" s="95">
        <f t="shared" si="466"/>
        <v>0.125</v>
      </c>
      <c r="BL766" s="95">
        <f t="shared" si="467"/>
        <v>0.12152777777777778</v>
      </c>
      <c r="BM766" s="95" t="str">
        <f t="shared" si="468"/>
        <v>00:00</v>
      </c>
      <c r="BN766" s="110"/>
    </row>
    <row r="767" spans="1:66" s="8" customFormat="1" ht="12.75" customHeight="1" x14ac:dyDescent="0.25">
      <c r="A767" s="150">
        <v>698</v>
      </c>
      <c r="B767" s="150">
        <v>7</v>
      </c>
      <c r="C767" s="90">
        <v>1</v>
      </c>
      <c r="D767" s="111" t="s">
        <v>113</v>
      </c>
      <c r="E767" s="210" t="s">
        <v>940</v>
      </c>
      <c r="F767" s="150" t="s">
        <v>29</v>
      </c>
      <c r="G767" s="150" t="s">
        <v>15</v>
      </c>
      <c r="H767" s="150" t="s">
        <v>124</v>
      </c>
      <c r="I767" s="150" t="s">
        <v>941</v>
      </c>
      <c r="J767" s="151">
        <v>45601</v>
      </c>
      <c r="K767" s="135" t="s">
        <v>117</v>
      </c>
      <c r="L767" s="135">
        <v>461000531</v>
      </c>
      <c r="M767" s="151">
        <v>45601</v>
      </c>
      <c r="N767" s="152">
        <v>45601.472222222219</v>
      </c>
      <c r="O767" s="152">
        <v>45601.472222222219</v>
      </c>
      <c r="P767" s="152">
        <v>45601.486111111109</v>
      </c>
      <c r="Q767" s="152">
        <v>45601.680555555555</v>
      </c>
      <c r="R767" s="152" t="s">
        <v>118</v>
      </c>
      <c r="S767" s="152">
        <v>45601.708333333336</v>
      </c>
      <c r="T767" s="152">
        <v>45601.822916666664</v>
      </c>
      <c r="U767" s="152">
        <v>45601.908333333333</v>
      </c>
      <c r="V767" s="219">
        <f t="shared" si="460"/>
        <v>0.20833333333575865</v>
      </c>
      <c r="W767" s="203">
        <v>0.20833333333333334</v>
      </c>
      <c r="X767" s="219">
        <f t="shared" si="461"/>
        <v>2.4253099528692701E-12</v>
      </c>
      <c r="Y767" s="96">
        <v>0</v>
      </c>
      <c r="Z767" s="96">
        <v>59</v>
      </c>
      <c r="AA767" s="96">
        <f t="shared" si="432"/>
        <v>59</v>
      </c>
      <c r="AB767" s="97">
        <f t="shared" si="433"/>
        <v>0</v>
      </c>
      <c r="AC767" s="97">
        <f t="shared" si="434"/>
        <v>4039.1200000000003</v>
      </c>
      <c r="AD767" s="98">
        <v>4039.12</v>
      </c>
      <c r="AE767" s="98">
        <v>4110.3999999999996</v>
      </c>
      <c r="AF767" s="98">
        <v>4113.6000000000004</v>
      </c>
      <c r="AG767" s="98">
        <f t="shared" si="435"/>
        <v>74.480000000000473</v>
      </c>
      <c r="AH767" s="99">
        <v>797.2</v>
      </c>
      <c r="AI767" s="100">
        <f t="shared" si="436"/>
        <v>3279361.9200000004</v>
      </c>
      <c r="AJ767" s="100">
        <f>(0.2*AH767)*2</f>
        <v>318.88000000000005</v>
      </c>
      <c r="AK767" s="100">
        <v>0</v>
      </c>
      <c r="AL767" s="100">
        <v>0</v>
      </c>
      <c r="AM767" s="100">
        <v>0</v>
      </c>
      <c r="AN767" s="100">
        <v>0</v>
      </c>
      <c r="AO767" s="100">
        <v>0</v>
      </c>
      <c r="AP767" s="100">
        <f t="shared" si="469"/>
        <v>163985</v>
      </c>
      <c r="AQ767" s="101">
        <f t="shared" si="459"/>
        <v>3443666</v>
      </c>
      <c r="AR767" s="101">
        <v>0</v>
      </c>
      <c r="AS767" s="101">
        <v>0</v>
      </c>
      <c r="AT767" s="102" t="s">
        <v>33</v>
      </c>
      <c r="AU767" s="109" t="s">
        <v>118</v>
      </c>
      <c r="AV767" s="100">
        <v>0</v>
      </c>
      <c r="AW767" s="262">
        <v>1</v>
      </c>
      <c r="AX767" s="216">
        <f t="shared" si="462"/>
        <v>1.8105795410346281</v>
      </c>
      <c r="AY767" s="217">
        <f t="shared" si="463"/>
        <v>59376</v>
      </c>
      <c r="AZ767" s="107"/>
      <c r="BA767" s="94">
        <v>45601.472222222219</v>
      </c>
      <c r="BB767" s="94">
        <v>45601.486111111109</v>
      </c>
      <c r="BC767" s="94">
        <v>45601.506944444445</v>
      </c>
      <c r="BD767" s="94">
        <v>45601.697916666664</v>
      </c>
      <c r="BE767" s="95">
        <f t="shared" si="464"/>
        <v>0.22569444444525288</v>
      </c>
      <c r="BF767" s="95">
        <v>1.8749999999999999E-2</v>
      </c>
      <c r="BG767" s="95">
        <v>6.6666666666666666E-2</v>
      </c>
      <c r="BH767" s="95">
        <f t="shared" si="465"/>
        <v>1.3888888890505768E-2</v>
      </c>
      <c r="BI767" s="95">
        <f t="shared" si="465"/>
        <v>2.0833333335758653E-2</v>
      </c>
      <c r="BJ767" s="95">
        <f t="shared" si="465"/>
        <v>0.19097222221898846</v>
      </c>
      <c r="BK767" s="95">
        <f t="shared" si="466"/>
        <v>0.21180555555474712</v>
      </c>
      <c r="BL767" s="95">
        <f t="shared" si="467"/>
        <v>0.12638888888808048</v>
      </c>
      <c r="BM767" s="95">
        <f t="shared" si="468"/>
        <v>1.7361111111919542E-2</v>
      </c>
      <c r="BN767" s="110"/>
    </row>
    <row r="768" spans="1:66" s="8" customFormat="1" ht="12.75" customHeight="1" x14ac:dyDescent="0.25">
      <c r="A768" s="150">
        <v>699</v>
      </c>
      <c r="B768" s="150">
        <v>8</v>
      </c>
      <c r="C768" s="90">
        <v>6</v>
      </c>
      <c r="D768" s="111" t="s">
        <v>148</v>
      </c>
      <c r="E768" s="210" t="s">
        <v>935</v>
      </c>
      <c r="F768" s="150" t="s">
        <v>19</v>
      </c>
      <c r="G768" s="150" t="s">
        <v>17</v>
      </c>
      <c r="H768" s="150" t="s">
        <v>150</v>
      </c>
      <c r="I768" s="150" t="s">
        <v>229</v>
      </c>
      <c r="J768" s="151">
        <v>45600</v>
      </c>
      <c r="K768" s="135" t="s">
        <v>122</v>
      </c>
      <c r="L768" s="135">
        <v>441000013</v>
      </c>
      <c r="M768" s="151">
        <v>45602</v>
      </c>
      <c r="N768" s="152">
        <v>45601.6875</v>
      </c>
      <c r="O768" s="152">
        <v>45601.6875</v>
      </c>
      <c r="P768" s="152">
        <v>45601.694444444445</v>
      </c>
      <c r="Q768" s="152">
        <v>45601.885416666664</v>
      </c>
      <c r="R768" s="152" t="s">
        <v>118</v>
      </c>
      <c r="S768" s="152" t="s">
        <v>118</v>
      </c>
      <c r="T768" s="152">
        <v>45601.989583333336</v>
      </c>
      <c r="U768" s="152">
        <v>45602.145833333336</v>
      </c>
      <c r="V768" s="219">
        <f t="shared" si="460"/>
        <v>0.19791666666424135</v>
      </c>
      <c r="W768" s="203">
        <v>0.20833333333333334</v>
      </c>
      <c r="X768" s="219" t="str">
        <f t="shared" si="461"/>
        <v>00:00</v>
      </c>
      <c r="Y768" s="96">
        <v>0</v>
      </c>
      <c r="Z768" s="96">
        <v>59</v>
      </c>
      <c r="AA768" s="96">
        <f t="shared" si="432"/>
        <v>59</v>
      </c>
      <c r="AB768" s="97">
        <f t="shared" si="433"/>
        <v>0</v>
      </c>
      <c r="AC768" s="97">
        <f t="shared" si="434"/>
        <v>4116.8999999999996</v>
      </c>
      <c r="AD768" s="98">
        <v>4116.8999999999996</v>
      </c>
      <c r="AE768" s="98">
        <v>4106.3999999999996</v>
      </c>
      <c r="AF768" s="98">
        <v>4137.3999999999996</v>
      </c>
      <c r="AG768" s="98">
        <f t="shared" si="435"/>
        <v>20.5</v>
      </c>
      <c r="AH768" s="99">
        <v>672.5</v>
      </c>
      <c r="AI768" s="100">
        <f t="shared" si="436"/>
        <v>2782401.4999999995</v>
      </c>
      <c r="AJ768" s="100">
        <f>(0*AH768)*2</f>
        <v>0</v>
      </c>
      <c r="AK768" s="100">
        <v>0</v>
      </c>
      <c r="AL768" s="100">
        <v>24290</v>
      </c>
      <c r="AM768" s="100">
        <v>0</v>
      </c>
      <c r="AN768" s="100">
        <v>0</v>
      </c>
      <c r="AO768" s="100">
        <v>0</v>
      </c>
      <c r="AP768" s="100">
        <f t="shared" si="469"/>
        <v>140335</v>
      </c>
      <c r="AQ768" s="101">
        <f t="shared" si="459"/>
        <v>2947027</v>
      </c>
      <c r="AR768" s="101">
        <v>0</v>
      </c>
      <c r="AS768" s="101">
        <v>0</v>
      </c>
      <c r="AT768" s="102" t="s">
        <v>33</v>
      </c>
      <c r="AU768" s="109">
        <v>22</v>
      </c>
      <c r="AV768" s="100">
        <f>44.35-26.35</f>
        <v>18</v>
      </c>
      <c r="AW768" s="262">
        <v>0</v>
      </c>
      <c r="AX768" s="216">
        <f t="shared" si="462"/>
        <v>0.49548025329917345</v>
      </c>
      <c r="AY768" s="217">
        <f t="shared" si="463"/>
        <v>13787</v>
      </c>
      <c r="AZ768" s="107"/>
      <c r="BA768" s="94">
        <v>45601.6875</v>
      </c>
      <c r="BB768" s="94">
        <v>45601.694444444445</v>
      </c>
      <c r="BC768" s="94">
        <v>45601.708333333336</v>
      </c>
      <c r="BD768" s="94">
        <v>45601.859722222223</v>
      </c>
      <c r="BE768" s="95">
        <f t="shared" si="464"/>
        <v>0.17222222222335404</v>
      </c>
      <c r="BF768" s="95">
        <v>1.0416666666666666E-2</v>
      </c>
      <c r="BG768" s="95">
        <v>3.472222222222222E-3</v>
      </c>
      <c r="BH768" s="95">
        <f t="shared" si="465"/>
        <v>6.9444444452528842E-3</v>
      </c>
      <c r="BI768" s="95">
        <f t="shared" si="465"/>
        <v>1.3888888890505768E-2</v>
      </c>
      <c r="BJ768" s="95">
        <f t="shared" si="465"/>
        <v>0.15138888888759539</v>
      </c>
      <c r="BK768" s="95">
        <f t="shared" si="466"/>
        <v>0.16527777777810115</v>
      </c>
      <c r="BL768" s="95">
        <f t="shared" si="467"/>
        <v>0.15138888888921229</v>
      </c>
      <c r="BM768" s="95" t="str">
        <f t="shared" si="468"/>
        <v>00:00</v>
      </c>
      <c r="BN768" s="110"/>
    </row>
    <row r="769" spans="1:66" s="8" customFormat="1" ht="12.75" customHeight="1" x14ac:dyDescent="0.25">
      <c r="A769" s="150">
        <v>700</v>
      </c>
      <c r="B769" s="150">
        <v>9</v>
      </c>
      <c r="C769" s="90">
        <v>20</v>
      </c>
      <c r="D769" s="111" t="s">
        <v>113</v>
      </c>
      <c r="E769" s="210" t="s">
        <v>863</v>
      </c>
      <c r="F769" s="150" t="s">
        <v>32</v>
      </c>
      <c r="G769" s="150" t="s">
        <v>8</v>
      </c>
      <c r="H769" s="150" t="s">
        <v>779</v>
      </c>
      <c r="I769" s="150" t="s">
        <v>356</v>
      </c>
      <c r="J769" s="151">
        <v>45601</v>
      </c>
      <c r="K769" s="135" t="s">
        <v>122</v>
      </c>
      <c r="L769" s="135">
        <v>281000254</v>
      </c>
      <c r="M769" s="151">
        <v>45602</v>
      </c>
      <c r="N769" s="152">
        <v>45602.145833333336</v>
      </c>
      <c r="O769" s="152">
        <v>45602.145833333336</v>
      </c>
      <c r="P769" s="152">
        <v>45602.159722222219</v>
      </c>
      <c r="Q769" s="152">
        <v>45602.354166666664</v>
      </c>
      <c r="R769" s="152" t="s">
        <v>118</v>
      </c>
      <c r="S769" s="152" t="s">
        <v>118</v>
      </c>
      <c r="T769" s="152">
        <v>45602.395833333336</v>
      </c>
      <c r="U769" s="152">
        <v>45602.460416666669</v>
      </c>
      <c r="V769" s="219">
        <f t="shared" si="460"/>
        <v>0.20833333332848269</v>
      </c>
      <c r="W769" s="203">
        <v>0.20833333333333334</v>
      </c>
      <c r="X769" s="219" t="str">
        <f t="shared" si="461"/>
        <v>00:00</v>
      </c>
      <c r="Y769" s="96">
        <v>0</v>
      </c>
      <c r="Z769" s="96">
        <v>58</v>
      </c>
      <c r="AA769" s="96">
        <f t="shared" si="432"/>
        <v>58</v>
      </c>
      <c r="AB769" s="97">
        <f t="shared" si="433"/>
        <v>0</v>
      </c>
      <c r="AC769" s="97">
        <f t="shared" si="434"/>
        <v>4006.02</v>
      </c>
      <c r="AD769" s="98">
        <v>4006.02</v>
      </c>
      <c r="AE769" s="98">
        <v>4043.2</v>
      </c>
      <c r="AF769" s="98">
        <v>4052.8</v>
      </c>
      <c r="AG769" s="98">
        <f t="shared" si="435"/>
        <v>46.7800000000002</v>
      </c>
      <c r="AH769" s="99">
        <v>1435.6</v>
      </c>
      <c r="AI769" s="100">
        <f t="shared" si="436"/>
        <v>5818199.6799999997</v>
      </c>
      <c r="AJ769" s="100">
        <f>(0.4*AH769)*2</f>
        <v>1148.48</v>
      </c>
      <c r="AK769" s="100">
        <v>0</v>
      </c>
      <c r="AL769" s="100">
        <v>0</v>
      </c>
      <c r="AM769" s="100">
        <v>0</v>
      </c>
      <c r="AN769" s="100">
        <v>0</v>
      </c>
      <c r="AO769" s="100">
        <v>0</v>
      </c>
      <c r="AP769" s="100">
        <f t="shared" si="469"/>
        <v>290968</v>
      </c>
      <c r="AQ769" s="101">
        <f t="shared" si="459"/>
        <v>6110317</v>
      </c>
      <c r="AR769" s="101">
        <v>0</v>
      </c>
      <c r="AS769" s="101">
        <v>0</v>
      </c>
      <c r="AT769" s="102" t="s">
        <v>33</v>
      </c>
      <c r="AU769" s="109" t="s">
        <v>118</v>
      </c>
      <c r="AV769" s="100">
        <v>0</v>
      </c>
      <c r="AW769" s="262">
        <v>0</v>
      </c>
      <c r="AX769" s="216">
        <f t="shared" si="462"/>
        <v>1.1542637189103877</v>
      </c>
      <c r="AY769" s="217">
        <f t="shared" si="463"/>
        <v>67158</v>
      </c>
      <c r="AZ769" s="107"/>
      <c r="BA769" s="94">
        <v>45602.145833333336</v>
      </c>
      <c r="BB769" s="94">
        <v>45602.159722222219</v>
      </c>
      <c r="BC769" s="94">
        <v>45602.163194444445</v>
      </c>
      <c r="BD769" s="94">
        <v>45602.354166666664</v>
      </c>
      <c r="BE769" s="95">
        <f t="shared" si="464"/>
        <v>0.20833333332848269</v>
      </c>
      <c r="BF769" s="95">
        <v>1.7361111111111112E-2</v>
      </c>
      <c r="BG769" s="95">
        <v>7.6388888888888886E-3</v>
      </c>
      <c r="BH769" s="95">
        <f t="shared" si="465"/>
        <v>1.3888888883229811E-2</v>
      </c>
      <c r="BI769" s="95">
        <f t="shared" si="465"/>
        <v>3.4722222262644209E-3</v>
      </c>
      <c r="BJ769" s="95">
        <f t="shared" si="465"/>
        <v>0.19097222221898846</v>
      </c>
      <c r="BK769" s="95">
        <f t="shared" si="466"/>
        <v>0.19444444444525288</v>
      </c>
      <c r="BL769" s="95">
        <f t="shared" si="467"/>
        <v>0.16944444444525289</v>
      </c>
      <c r="BM769" s="95" t="str">
        <f t="shared" si="468"/>
        <v>00:00</v>
      </c>
      <c r="BN769" s="110"/>
    </row>
    <row r="770" spans="1:66" s="8" customFormat="1" ht="12.75" customHeight="1" x14ac:dyDescent="0.25">
      <c r="A770" s="150">
        <v>701</v>
      </c>
      <c r="B770" s="150">
        <v>10</v>
      </c>
      <c r="C770" s="90">
        <v>7</v>
      </c>
      <c r="D770" s="111" t="s">
        <v>148</v>
      </c>
      <c r="E770" s="210" t="s">
        <v>935</v>
      </c>
      <c r="F770" s="150" t="s">
        <v>19</v>
      </c>
      <c r="G770" s="150" t="s">
        <v>17</v>
      </c>
      <c r="H770" s="150" t="s">
        <v>150</v>
      </c>
      <c r="I770" s="150" t="s">
        <v>237</v>
      </c>
      <c r="J770" s="151">
        <v>45600</v>
      </c>
      <c r="K770" s="135" t="s">
        <v>117</v>
      </c>
      <c r="L770" s="135">
        <v>461000532</v>
      </c>
      <c r="M770" s="151">
        <v>45603</v>
      </c>
      <c r="N770" s="152">
        <v>45602.652777777781</v>
      </c>
      <c r="O770" s="152">
        <v>45602.652777777781</v>
      </c>
      <c r="P770" s="152">
        <v>45602.659722222219</v>
      </c>
      <c r="Q770" s="152">
        <v>45602.854166666664</v>
      </c>
      <c r="R770" s="152" t="s">
        <v>118</v>
      </c>
      <c r="S770" s="152" t="s">
        <v>118</v>
      </c>
      <c r="T770" s="152">
        <v>45602.895833333336</v>
      </c>
      <c r="U770" s="152">
        <v>45603.045138888891</v>
      </c>
      <c r="V770" s="219">
        <f t="shared" si="460"/>
        <v>0.20138888888322981</v>
      </c>
      <c r="W770" s="203">
        <v>0.20833333333333334</v>
      </c>
      <c r="X770" s="219" t="str">
        <f t="shared" si="461"/>
        <v>00:00</v>
      </c>
      <c r="Y770" s="96">
        <v>2</v>
      </c>
      <c r="Z770" s="96">
        <v>56</v>
      </c>
      <c r="AA770" s="96">
        <f t="shared" si="432"/>
        <v>58</v>
      </c>
      <c r="AB770" s="97">
        <f t="shared" si="433"/>
        <v>139.51172413793103</v>
      </c>
      <c r="AC770" s="97">
        <f t="shared" si="434"/>
        <v>3906.3282758620689</v>
      </c>
      <c r="AD770" s="98">
        <v>4045.84</v>
      </c>
      <c r="AE770" s="98">
        <v>4046.5</v>
      </c>
      <c r="AF770" s="263">
        <v>4076.2</v>
      </c>
      <c r="AG770" s="98">
        <f t="shared" si="435"/>
        <v>30.359999999999673</v>
      </c>
      <c r="AH770" s="99">
        <v>672.5</v>
      </c>
      <c r="AI770" s="100">
        <f t="shared" si="436"/>
        <v>2741244.5</v>
      </c>
      <c r="AJ770" s="100">
        <f t="shared" ref="AJ770:AJ792" si="470">(0*AH770)*2</f>
        <v>0</v>
      </c>
      <c r="AK770" s="100">
        <v>0</v>
      </c>
      <c r="AL770" s="100">
        <v>24140</v>
      </c>
      <c r="AM770" s="100">
        <v>0</v>
      </c>
      <c r="AN770" s="100">
        <v>0</v>
      </c>
      <c r="AO770" s="100">
        <v>0</v>
      </c>
      <c r="AP770" s="100">
        <f t="shared" si="469"/>
        <v>138270</v>
      </c>
      <c r="AQ770" s="101">
        <f t="shared" si="459"/>
        <v>2903655</v>
      </c>
      <c r="AR770" s="101">
        <v>0</v>
      </c>
      <c r="AS770" s="101">
        <v>0</v>
      </c>
      <c r="AT770" s="102" t="s">
        <v>33</v>
      </c>
      <c r="AU770" s="109">
        <v>18</v>
      </c>
      <c r="AV770" s="100">
        <f>41.24-25.74</f>
        <v>15.500000000000004</v>
      </c>
      <c r="AW770" s="262">
        <v>0</v>
      </c>
      <c r="AX770" s="216">
        <f t="shared" si="462"/>
        <v>0.74481134389872117</v>
      </c>
      <c r="AY770" s="217">
        <f t="shared" si="463"/>
        <v>20418</v>
      </c>
      <c r="AZ770" s="107"/>
      <c r="BA770" s="94">
        <v>45602.652777777781</v>
      </c>
      <c r="BB770" s="94">
        <v>45602.659722222219</v>
      </c>
      <c r="BC770" s="94">
        <v>45602.659722222219</v>
      </c>
      <c r="BD770" s="94">
        <v>45602.826388888891</v>
      </c>
      <c r="BE770" s="95">
        <f t="shared" si="464"/>
        <v>0.17361111110949423</v>
      </c>
      <c r="BF770" s="95">
        <v>2.0833333333333332E-2</v>
      </c>
      <c r="BG770" s="95">
        <v>6.9444444444444441E-3</v>
      </c>
      <c r="BH770" s="95">
        <f t="shared" si="465"/>
        <v>6.9444444379769266E-3</v>
      </c>
      <c r="BI770" s="95">
        <f t="shared" si="465"/>
        <v>0</v>
      </c>
      <c r="BJ770" s="95">
        <f t="shared" si="465"/>
        <v>0.16666666667151731</v>
      </c>
      <c r="BK770" s="95">
        <f t="shared" si="466"/>
        <v>0.16666666667151731</v>
      </c>
      <c r="BL770" s="95">
        <f t="shared" si="467"/>
        <v>0.13888888889373951</v>
      </c>
      <c r="BM770" s="95" t="str">
        <f t="shared" si="468"/>
        <v>00:00</v>
      </c>
      <c r="BN770" s="110"/>
    </row>
    <row r="771" spans="1:66" s="8" customFormat="1" ht="12.75" customHeight="1" x14ac:dyDescent="0.25">
      <c r="A771" s="150">
        <v>702</v>
      </c>
      <c r="B771" s="150">
        <v>11</v>
      </c>
      <c r="C771" s="90">
        <v>21</v>
      </c>
      <c r="D771" s="111" t="s">
        <v>113</v>
      </c>
      <c r="E771" s="210" t="s">
        <v>863</v>
      </c>
      <c r="F771" s="150" t="s">
        <v>32</v>
      </c>
      <c r="G771" s="150" t="s">
        <v>8</v>
      </c>
      <c r="H771" s="150" t="s">
        <v>779</v>
      </c>
      <c r="I771" s="150" t="s">
        <v>335</v>
      </c>
      <c r="J771" s="151">
        <v>45602</v>
      </c>
      <c r="K771" s="135" t="s">
        <v>122</v>
      </c>
      <c r="L771" s="135">
        <v>281000255</v>
      </c>
      <c r="M771" s="151">
        <v>45603</v>
      </c>
      <c r="N771" s="152">
        <v>45603.041666666664</v>
      </c>
      <c r="O771" s="152">
        <v>45603.041666666664</v>
      </c>
      <c r="P771" s="152">
        <v>45603.055555555555</v>
      </c>
      <c r="Q771" s="152">
        <v>45603.229166666664</v>
      </c>
      <c r="R771" s="152" t="s">
        <v>118</v>
      </c>
      <c r="S771" s="152" t="s">
        <v>118</v>
      </c>
      <c r="T771" s="152">
        <v>45603.270833333336</v>
      </c>
      <c r="U771" s="152">
        <v>45603.431944444441</v>
      </c>
      <c r="V771" s="219">
        <f t="shared" si="460"/>
        <v>0.1875</v>
      </c>
      <c r="W771" s="203">
        <v>0.20833333333333334</v>
      </c>
      <c r="X771" s="219" t="str">
        <f t="shared" si="461"/>
        <v>00:00</v>
      </c>
      <c r="Y771" s="96">
        <v>1</v>
      </c>
      <c r="Z771" s="96">
        <v>58</v>
      </c>
      <c r="AA771" s="96">
        <f t="shared" si="432"/>
        <v>59</v>
      </c>
      <c r="AB771" s="97">
        <f t="shared" si="433"/>
        <v>68.48694915254238</v>
      </c>
      <c r="AC771" s="97">
        <f t="shared" si="434"/>
        <v>3972.2430508474581</v>
      </c>
      <c r="AD771" s="98">
        <v>4040.73</v>
      </c>
      <c r="AE771" s="98">
        <v>4095.8</v>
      </c>
      <c r="AF771" s="98">
        <v>4105</v>
      </c>
      <c r="AG771" s="98">
        <f t="shared" si="435"/>
        <v>64.269999999999982</v>
      </c>
      <c r="AH771" s="99">
        <v>1435.6</v>
      </c>
      <c r="AI771" s="100">
        <f t="shared" si="436"/>
        <v>5893138</v>
      </c>
      <c r="AJ771" s="100">
        <f t="shared" si="470"/>
        <v>0</v>
      </c>
      <c r="AK771" s="100">
        <v>0</v>
      </c>
      <c r="AL771" s="100">
        <v>0</v>
      </c>
      <c r="AM771" s="100">
        <v>0</v>
      </c>
      <c r="AN771" s="100">
        <v>0</v>
      </c>
      <c r="AO771" s="100">
        <v>0</v>
      </c>
      <c r="AP771" s="100">
        <f t="shared" si="469"/>
        <v>294657</v>
      </c>
      <c r="AQ771" s="101">
        <f t="shared" si="459"/>
        <v>6187795</v>
      </c>
      <c r="AR771" s="101">
        <v>0</v>
      </c>
      <c r="AS771" s="101">
        <v>0</v>
      </c>
      <c r="AT771" s="102" t="s">
        <v>33</v>
      </c>
      <c r="AU771" s="109" t="s">
        <v>118</v>
      </c>
      <c r="AV771" s="100">
        <v>0</v>
      </c>
      <c r="AW771" s="262">
        <v>0</v>
      </c>
      <c r="AX771" s="216">
        <f t="shared" si="462"/>
        <v>1.565651644336175</v>
      </c>
      <c r="AY771" s="217">
        <f t="shared" si="463"/>
        <v>92267</v>
      </c>
      <c r="AZ771" s="107"/>
      <c r="BA771" s="94">
        <v>45603.041666666664</v>
      </c>
      <c r="BB771" s="94">
        <v>45603.055555555555</v>
      </c>
      <c r="BC771" s="94">
        <v>45603.055555555555</v>
      </c>
      <c r="BD771" s="94">
        <v>45603.215277777781</v>
      </c>
      <c r="BE771" s="95">
        <f t="shared" si="464"/>
        <v>0.17361111111677019</v>
      </c>
      <c r="BF771" s="95">
        <v>0</v>
      </c>
      <c r="BG771" s="95">
        <v>3.4722222222222224E-2</v>
      </c>
      <c r="BH771" s="95">
        <f t="shared" si="465"/>
        <v>1.3888888890505768E-2</v>
      </c>
      <c r="BI771" s="95">
        <f t="shared" si="465"/>
        <v>0</v>
      </c>
      <c r="BJ771" s="95">
        <f t="shared" si="465"/>
        <v>0.15972222222626442</v>
      </c>
      <c r="BK771" s="95">
        <f t="shared" si="466"/>
        <v>0.15972222222626442</v>
      </c>
      <c r="BL771" s="95">
        <f t="shared" si="467"/>
        <v>0.12500000000404221</v>
      </c>
      <c r="BM771" s="95" t="str">
        <f t="shared" si="468"/>
        <v>00:00</v>
      </c>
      <c r="BN771" s="110"/>
    </row>
    <row r="772" spans="1:66" s="8" customFormat="1" ht="12.75" customHeight="1" x14ac:dyDescent="0.25">
      <c r="A772" s="150">
        <v>703</v>
      </c>
      <c r="B772" s="150">
        <v>12</v>
      </c>
      <c r="C772" s="90">
        <v>2</v>
      </c>
      <c r="D772" s="111" t="s">
        <v>113</v>
      </c>
      <c r="E772" s="210" t="s">
        <v>940</v>
      </c>
      <c r="F772" s="150" t="s">
        <v>29</v>
      </c>
      <c r="G772" s="150" t="s">
        <v>15</v>
      </c>
      <c r="H772" s="150" t="s">
        <v>124</v>
      </c>
      <c r="I772" s="150" t="s">
        <v>942</v>
      </c>
      <c r="J772" s="151"/>
      <c r="K772" s="135" t="s">
        <v>117</v>
      </c>
      <c r="L772" s="135">
        <v>461000533</v>
      </c>
      <c r="M772" s="151">
        <v>45603</v>
      </c>
      <c r="N772" s="152">
        <v>45603.607638888891</v>
      </c>
      <c r="O772" s="152">
        <v>45603.607638888891</v>
      </c>
      <c r="P772" s="152">
        <v>45603.625</v>
      </c>
      <c r="Q772" s="152">
        <v>45603.802083333336</v>
      </c>
      <c r="R772" s="152" t="s">
        <v>118</v>
      </c>
      <c r="S772" s="152" t="s">
        <v>118</v>
      </c>
      <c r="T772" s="152">
        <v>45603.84375</v>
      </c>
      <c r="U772" s="152">
        <v>45603.946527777778</v>
      </c>
      <c r="V772" s="219">
        <f t="shared" si="460"/>
        <v>0.19444444444525288</v>
      </c>
      <c r="W772" s="203">
        <v>0.20833333333333334</v>
      </c>
      <c r="X772" s="219" t="str">
        <f t="shared" si="461"/>
        <v>00:00</v>
      </c>
      <c r="Y772" s="96">
        <v>0</v>
      </c>
      <c r="Z772" s="96">
        <v>59</v>
      </c>
      <c r="AA772" s="96">
        <f t="shared" si="432"/>
        <v>59</v>
      </c>
      <c r="AB772" s="97">
        <f t="shared" si="433"/>
        <v>0</v>
      </c>
      <c r="AC772" s="97">
        <f t="shared" si="434"/>
        <v>3851.33</v>
      </c>
      <c r="AD772" s="98">
        <v>3851.33</v>
      </c>
      <c r="AE772" s="98">
        <v>4094.6</v>
      </c>
      <c r="AF772" s="98">
        <v>4094.6</v>
      </c>
      <c r="AG772" s="98">
        <f t="shared" si="435"/>
        <v>243.26999999999998</v>
      </c>
      <c r="AH772" s="99">
        <v>797.2</v>
      </c>
      <c r="AI772" s="100">
        <f t="shared" si="436"/>
        <v>3264215.12</v>
      </c>
      <c r="AJ772" s="100">
        <f t="shared" si="470"/>
        <v>0</v>
      </c>
      <c r="AK772" s="100">
        <v>0</v>
      </c>
      <c r="AL772" s="100">
        <v>0</v>
      </c>
      <c r="AM772" s="100">
        <v>0</v>
      </c>
      <c r="AN772" s="100">
        <v>0</v>
      </c>
      <c r="AO772" s="100">
        <v>0</v>
      </c>
      <c r="AP772" s="100">
        <f t="shared" si="469"/>
        <v>163211</v>
      </c>
      <c r="AQ772" s="101">
        <f t="shared" si="459"/>
        <v>3427427</v>
      </c>
      <c r="AR772" s="101">
        <v>0</v>
      </c>
      <c r="AS772" s="101">
        <v>0</v>
      </c>
      <c r="AT772" s="102" t="s">
        <v>33</v>
      </c>
      <c r="AU772" s="109" t="s">
        <v>118</v>
      </c>
      <c r="AV772" s="100">
        <v>0</v>
      </c>
      <c r="AW772" s="262">
        <v>0</v>
      </c>
      <c r="AX772" s="216">
        <f t="shared" si="462"/>
        <v>5.9412396815317727</v>
      </c>
      <c r="AY772" s="217">
        <f t="shared" si="463"/>
        <v>193935</v>
      </c>
      <c r="AZ772" s="107"/>
      <c r="BA772" s="94">
        <v>45603.607638888891</v>
      </c>
      <c r="BB772" s="94">
        <v>45603.625</v>
      </c>
      <c r="BC772" s="94">
        <v>45603.625</v>
      </c>
      <c r="BD772" s="94">
        <v>45603.78125</v>
      </c>
      <c r="BE772" s="95">
        <f t="shared" si="464"/>
        <v>0.17361111110949423</v>
      </c>
      <c r="BF772" s="95">
        <v>5.5555555555555558E-3</v>
      </c>
      <c r="BG772" s="95">
        <v>3.8194444444444448E-2</v>
      </c>
      <c r="BH772" s="95">
        <f t="shared" si="465"/>
        <v>1.7361111109494232E-2</v>
      </c>
      <c r="BI772" s="95">
        <f t="shared" si="465"/>
        <v>0</v>
      </c>
      <c r="BJ772" s="95">
        <f t="shared" si="465"/>
        <v>0.15625</v>
      </c>
      <c r="BK772" s="95">
        <f t="shared" si="466"/>
        <v>0.15625</v>
      </c>
      <c r="BL772" s="95">
        <f t="shared" si="467"/>
        <v>0.11249999999999999</v>
      </c>
      <c r="BM772" s="95" t="str">
        <f t="shared" si="468"/>
        <v>00:00</v>
      </c>
      <c r="BN772" s="110"/>
    </row>
    <row r="773" spans="1:66" s="8" customFormat="1" ht="12.75" customHeight="1" x14ac:dyDescent="0.25">
      <c r="A773" s="150">
        <v>704</v>
      </c>
      <c r="B773" s="150">
        <v>13</v>
      </c>
      <c r="C773" s="90">
        <v>8</v>
      </c>
      <c r="D773" s="111" t="s">
        <v>148</v>
      </c>
      <c r="E773" s="210" t="s">
        <v>935</v>
      </c>
      <c r="F773" s="150" t="s">
        <v>19</v>
      </c>
      <c r="G773" s="150" t="s">
        <v>17</v>
      </c>
      <c r="H773" s="150" t="s">
        <v>150</v>
      </c>
      <c r="I773" s="150" t="s">
        <v>251</v>
      </c>
      <c r="J773" s="151">
        <v>45602</v>
      </c>
      <c r="K773" s="135" t="s">
        <v>122</v>
      </c>
      <c r="L773" s="135">
        <v>461000534</v>
      </c>
      <c r="M773" s="151">
        <v>45604</v>
      </c>
      <c r="N773" s="152">
        <v>45603.791666666664</v>
      </c>
      <c r="O773" s="152">
        <v>45603.791666666664</v>
      </c>
      <c r="P773" s="152">
        <v>45603.795138888891</v>
      </c>
      <c r="Q773" s="152">
        <v>45603.979166666664</v>
      </c>
      <c r="R773" s="152" t="s">
        <v>118</v>
      </c>
      <c r="S773" s="152" t="s">
        <v>118</v>
      </c>
      <c r="T773" s="152">
        <v>45604.0625</v>
      </c>
      <c r="U773" s="152">
        <v>45604.159722222219</v>
      </c>
      <c r="V773" s="219">
        <f t="shared" si="460"/>
        <v>0.1875</v>
      </c>
      <c r="W773" s="203">
        <v>0.20833333333333334</v>
      </c>
      <c r="X773" s="219" t="str">
        <f t="shared" si="461"/>
        <v>00:00</v>
      </c>
      <c r="Y773" s="96">
        <v>0</v>
      </c>
      <c r="Z773" s="96">
        <v>58</v>
      </c>
      <c r="AA773" s="96">
        <f t="shared" si="432"/>
        <v>58</v>
      </c>
      <c r="AB773" s="97">
        <f t="shared" si="433"/>
        <v>0</v>
      </c>
      <c r="AC773" s="97">
        <f t="shared" si="434"/>
        <v>3834.35</v>
      </c>
      <c r="AD773" s="98">
        <v>3834.35</v>
      </c>
      <c r="AE773" s="98">
        <v>4037.1</v>
      </c>
      <c r="AF773" s="98">
        <v>4037.6</v>
      </c>
      <c r="AG773" s="98">
        <f t="shared" si="435"/>
        <v>203.25</v>
      </c>
      <c r="AH773" s="99">
        <v>672.5</v>
      </c>
      <c r="AI773" s="100">
        <f t="shared" si="436"/>
        <v>2715286</v>
      </c>
      <c r="AJ773" s="100">
        <f t="shared" si="470"/>
        <v>0</v>
      </c>
      <c r="AK773" s="100">
        <v>0</v>
      </c>
      <c r="AL773" s="100">
        <v>0</v>
      </c>
      <c r="AM773" s="100">
        <v>0</v>
      </c>
      <c r="AN773" s="100">
        <v>0</v>
      </c>
      <c r="AO773" s="100">
        <v>0</v>
      </c>
      <c r="AP773" s="100">
        <f t="shared" si="469"/>
        <v>135765</v>
      </c>
      <c r="AQ773" s="101">
        <f t="shared" si="459"/>
        <v>2851051</v>
      </c>
      <c r="AR773" s="101">
        <v>0</v>
      </c>
      <c r="AS773" s="101">
        <v>0</v>
      </c>
      <c r="AT773" s="102" t="s">
        <v>33</v>
      </c>
      <c r="AU773" s="109" t="s">
        <v>118</v>
      </c>
      <c r="AV773" s="100">
        <v>0</v>
      </c>
      <c r="AW773" s="262">
        <v>0</v>
      </c>
      <c r="AX773" s="216">
        <f t="shared" si="462"/>
        <v>5.033931048147414</v>
      </c>
      <c r="AY773" s="217">
        <f t="shared" si="463"/>
        <v>136686</v>
      </c>
      <c r="AZ773" s="107"/>
      <c r="BA773" s="94">
        <v>45603.791666666664</v>
      </c>
      <c r="BB773" s="94">
        <v>45603.795138888891</v>
      </c>
      <c r="BC773" s="94">
        <v>45603.822916666664</v>
      </c>
      <c r="BD773" s="94">
        <v>45603.968055555553</v>
      </c>
      <c r="BE773" s="95">
        <f t="shared" si="464"/>
        <v>0.17638888888905058</v>
      </c>
      <c r="BF773" s="95">
        <v>0.05</v>
      </c>
      <c r="BG773" s="95">
        <v>0</v>
      </c>
      <c r="BH773" s="95">
        <f t="shared" si="465"/>
        <v>3.4722222262644209E-3</v>
      </c>
      <c r="BI773" s="95">
        <f t="shared" si="465"/>
        <v>2.7777777773735579E-2</v>
      </c>
      <c r="BJ773" s="95">
        <f t="shared" si="465"/>
        <v>0.14513888888905058</v>
      </c>
      <c r="BK773" s="95">
        <f t="shared" si="466"/>
        <v>0.17291666666278616</v>
      </c>
      <c r="BL773" s="95">
        <f t="shared" si="467"/>
        <v>0.12291666666278615</v>
      </c>
      <c r="BM773" s="95" t="str">
        <f t="shared" si="468"/>
        <v>00:00</v>
      </c>
      <c r="BN773" s="110"/>
    </row>
    <row r="774" spans="1:66" s="8" customFormat="1" ht="12.75" customHeight="1" x14ac:dyDescent="0.25">
      <c r="A774" s="150">
        <v>705</v>
      </c>
      <c r="B774" s="150">
        <v>14</v>
      </c>
      <c r="C774" s="90">
        <v>1</v>
      </c>
      <c r="D774" s="111" t="s">
        <v>113</v>
      </c>
      <c r="E774" s="210" t="s">
        <v>943</v>
      </c>
      <c r="F774" s="150" t="s">
        <v>32</v>
      </c>
      <c r="G774" s="150" t="s">
        <v>15</v>
      </c>
      <c r="H774" s="150" t="s">
        <v>182</v>
      </c>
      <c r="I774" s="150" t="s">
        <v>333</v>
      </c>
      <c r="J774" s="151">
        <v>45604</v>
      </c>
      <c r="K774" s="135" t="s">
        <v>117</v>
      </c>
      <c r="L774" s="135">
        <v>261006088</v>
      </c>
      <c r="M774" s="151">
        <v>45604</v>
      </c>
      <c r="N774" s="152">
        <v>45604.541666666664</v>
      </c>
      <c r="O774" s="152">
        <v>45604.541666666664</v>
      </c>
      <c r="P774" s="152">
        <v>45604.548611111109</v>
      </c>
      <c r="Q774" s="152">
        <v>45604.739583333336</v>
      </c>
      <c r="R774" s="152" t="s">
        <v>118</v>
      </c>
      <c r="S774" s="152" t="s">
        <v>118</v>
      </c>
      <c r="T774" s="152">
        <v>45604.84375</v>
      </c>
      <c r="U774" s="152">
        <v>45604.931944444441</v>
      </c>
      <c r="V774" s="219">
        <f t="shared" si="460"/>
        <v>0.19791666667151731</v>
      </c>
      <c r="W774" s="203">
        <v>0.20833333333333334</v>
      </c>
      <c r="X774" s="219" t="str">
        <f t="shared" si="461"/>
        <v>00:00</v>
      </c>
      <c r="Y774" s="96">
        <v>2</v>
      </c>
      <c r="Z774" s="96">
        <v>55</v>
      </c>
      <c r="AA774" s="96">
        <f t="shared" si="432"/>
        <v>57</v>
      </c>
      <c r="AB774" s="97">
        <f t="shared" si="433"/>
        <v>135.62842105263158</v>
      </c>
      <c r="AC774" s="97">
        <f t="shared" si="434"/>
        <v>3729.7815789473684</v>
      </c>
      <c r="AD774" s="98">
        <v>3865.41</v>
      </c>
      <c r="AE774" s="98">
        <v>3957.6</v>
      </c>
      <c r="AF774" s="98">
        <v>3958.8</v>
      </c>
      <c r="AG774" s="98">
        <f t="shared" si="435"/>
        <v>93.390000000000327</v>
      </c>
      <c r="AH774" s="99">
        <v>1484</v>
      </c>
      <c r="AI774" s="100">
        <f t="shared" si="436"/>
        <v>5874859.2000000002</v>
      </c>
      <c r="AJ774" s="100">
        <f t="shared" si="470"/>
        <v>0</v>
      </c>
      <c r="AK774" s="100">
        <v>0</v>
      </c>
      <c r="AL774" s="100">
        <v>0</v>
      </c>
      <c r="AM774" s="100">
        <v>0</v>
      </c>
      <c r="AN774" s="100">
        <v>0</v>
      </c>
      <c r="AO774" s="100">
        <v>0</v>
      </c>
      <c r="AP774" s="100">
        <f t="shared" si="469"/>
        <v>293743</v>
      </c>
      <c r="AQ774" s="101">
        <f t="shared" si="459"/>
        <v>6168603</v>
      </c>
      <c r="AR774" s="101">
        <v>0</v>
      </c>
      <c r="AS774" s="101">
        <v>0</v>
      </c>
      <c r="AT774" s="102" t="s">
        <v>33</v>
      </c>
      <c r="AU774" s="109" t="s">
        <v>118</v>
      </c>
      <c r="AV774" s="100">
        <v>0</v>
      </c>
      <c r="AW774" s="262">
        <v>0</v>
      </c>
      <c r="AX774" s="216">
        <f t="shared" si="462"/>
        <v>2.3590481964231667</v>
      </c>
      <c r="AY774" s="217">
        <f t="shared" si="463"/>
        <v>138591</v>
      </c>
      <c r="AZ774" s="107"/>
      <c r="BA774" s="94">
        <v>45604.541666666664</v>
      </c>
      <c r="BB774" s="94">
        <v>45604.548611111109</v>
      </c>
      <c r="BC774" s="94">
        <v>45604.548611111109</v>
      </c>
      <c r="BD774" s="94">
        <v>45604.736111111109</v>
      </c>
      <c r="BE774" s="95">
        <f t="shared" si="464"/>
        <v>0.19444444444525288</v>
      </c>
      <c r="BF774" s="95">
        <v>9.0277777777777769E-3</v>
      </c>
      <c r="BG774" s="95">
        <v>5.4166666666666669E-2</v>
      </c>
      <c r="BH774" s="95">
        <f t="shared" si="465"/>
        <v>6.9444444452528842E-3</v>
      </c>
      <c r="BI774" s="95">
        <f t="shared" si="465"/>
        <v>0</v>
      </c>
      <c r="BJ774" s="95">
        <f t="shared" si="465"/>
        <v>0.1875</v>
      </c>
      <c r="BK774" s="95">
        <f t="shared" si="466"/>
        <v>0.1875</v>
      </c>
      <c r="BL774" s="95">
        <f t="shared" si="467"/>
        <v>0.12430555555555556</v>
      </c>
      <c r="BM774" s="95" t="str">
        <f t="shared" si="468"/>
        <v>00:00</v>
      </c>
      <c r="BN774" s="110"/>
    </row>
    <row r="775" spans="1:66" s="8" customFormat="1" ht="12.75" customHeight="1" x14ac:dyDescent="0.25">
      <c r="A775" s="150">
        <v>706</v>
      </c>
      <c r="B775" s="150">
        <v>15</v>
      </c>
      <c r="C775" s="90">
        <v>9</v>
      </c>
      <c r="D775" s="111" t="s">
        <v>148</v>
      </c>
      <c r="E775" s="210" t="s">
        <v>935</v>
      </c>
      <c r="F775" s="150" t="s">
        <v>19</v>
      </c>
      <c r="G775" s="150" t="s">
        <v>17</v>
      </c>
      <c r="H775" s="150" t="s">
        <v>150</v>
      </c>
      <c r="I775" s="150" t="s">
        <v>231</v>
      </c>
      <c r="J775" s="151">
        <v>45603</v>
      </c>
      <c r="K775" s="135" t="s">
        <v>122</v>
      </c>
      <c r="L775" s="135">
        <v>441000014</v>
      </c>
      <c r="M775" s="151">
        <v>45605</v>
      </c>
      <c r="N775" s="152">
        <v>45604.729166666664</v>
      </c>
      <c r="O775" s="152">
        <v>45604.729166666664</v>
      </c>
      <c r="P775" s="152">
        <v>45604.732638888891</v>
      </c>
      <c r="Q775" s="152">
        <v>45604.9375</v>
      </c>
      <c r="R775" s="152" t="s">
        <v>118</v>
      </c>
      <c r="S775" s="152" t="s">
        <v>118</v>
      </c>
      <c r="T775" s="152">
        <v>45604.979166666664</v>
      </c>
      <c r="U775" s="152">
        <v>45605.138888888891</v>
      </c>
      <c r="V775" s="219">
        <f t="shared" si="460"/>
        <v>0.20833333333575865</v>
      </c>
      <c r="W775" s="203">
        <v>0.20833333333333334</v>
      </c>
      <c r="X775" s="219">
        <f t="shared" si="461"/>
        <v>2.4253099528692701E-12</v>
      </c>
      <c r="Y775" s="96">
        <v>1</v>
      </c>
      <c r="Z775" s="96">
        <v>56</v>
      </c>
      <c r="AA775" s="96">
        <f t="shared" si="432"/>
        <v>57</v>
      </c>
      <c r="AB775" s="97">
        <f t="shared" si="433"/>
        <v>70.276842105263157</v>
      </c>
      <c r="AC775" s="97">
        <f t="shared" si="434"/>
        <v>3935.5031578947369</v>
      </c>
      <c r="AD775" s="98">
        <v>4005.78</v>
      </c>
      <c r="AE775" s="98">
        <v>3971.5</v>
      </c>
      <c r="AF775" s="98">
        <v>4021.8</v>
      </c>
      <c r="AG775" s="98">
        <f t="shared" si="435"/>
        <v>16.019999999999982</v>
      </c>
      <c r="AH775" s="99">
        <v>672.5</v>
      </c>
      <c r="AI775" s="100">
        <f t="shared" si="436"/>
        <v>2704660.5</v>
      </c>
      <c r="AJ775" s="100">
        <f t="shared" si="470"/>
        <v>0</v>
      </c>
      <c r="AK775" s="100">
        <v>0</v>
      </c>
      <c r="AL775" s="100">
        <f>47980</f>
        <v>47980</v>
      </c>
      <c r="AM775" s="100">
        <v>0</v>
      </c>
      <c r="AN775" s="100">
        <v>0</v>
      </c>
      <c r="AO775" s="100">
        <v>0</v>
      </c>
      <c r="AP775" s="100">
        <f t="shared" si="469"/>
        <v>137633</v>
      </c>
      <c r="AQ775" s="101">
        <f t="shared" si="459"/>
        <v>2890274</v>
      </c>
      <c r="AR775" s="101">
        <v>0</v>
      </c>
      <c r="AS775" s="101">
        <v>0</v>
      </c>
      <c r="AT775" s="102" t="s">
        <v>33</v>
      </c>
      <c r="AU775" s="109">
        <v>50</v>
      </c>
      <c r="AV775" s="100">
        <f>136.87-41.87</f>
        <v>95</v>
      </c>
      <c r="AW775" s="262">
        <v>0</v>
      </c>
      <c r="AX775" s="216">
        <f t="shared" si="462"/>
        <v>0.39832910637028146</v>
      </c>
      <c r="AY775" s="217">
        <f t="shared" si="463"/>
        <v>10774</v>
      </c>
      <c r="AZ775" s="107"/>
      <c r="BA775" s="94">
        <v>45604.729166666664</v>
      </c>
      <c r="BB775" s="94">
        <v>45604.732638888891</v>
      </c>
      <c r="BC775" s="94">
        <v>45604.760416666664</v>
      </c>
      <c r="BD775" s="94">
        <v>45604.938888888886</v>
      </c>
      <c r="BE775" s="95">
        <f t="shared" si="464"/>
        <v>0.20972222222189885</v>
      </c>
      <c r="BF775" s="95">
        <v>2.6388888888888889E-2</v>
      </c>
      <c r="BG775" s="95">
        <v>5.486111111111111E-2</v>
      </c>
      <c r="BH775" s="95">
        <f t="shared" si="465"/>
        <v>3.4722222262644209E-3</v>
      </c>
      <c r="BI775" s="95">
        <f t="shared" si="465"/>
        <v>2.7777777773735579E-2</v>
      </c>
      <c r="BJ775" s="95">
        <f t="shared" si="465"/>
        <v>0.17847222222189885</v>
      </c>
      <c r="BK775" s="95">
        <f t="shared" si="466"/>
        <v>0.20624999999563443</v>
      </c>
      <c r="BL775" s="95">
        <f t="shared" si="467"/>
        <v>0.12499999999563444</v>
      </c>
      <c r="BM775" s="95">
        <f t="shared" si="468"/>
        <v>1.3888888885655037E-3</v>
      </c>
      <c r="BN775" s="110"/>
    </row>
    <row r="776" spans="1:66" s="8" customFormat="1" ht="12.75" customHeight="1" x14ac:dyDescent="0.25">
      <c r="A776" s="150">
        <v>707</v>
      </c>
      <c r="B776" s="150">
        <v>16</v>
      </c>
      <c r="C776" s="90">
        <v>3</v>
      </c>
      <c r="D776" s="111" t="s">
        <v>113</v>
      </c>
      <c r="E776" s="210" t="s">
        <v>940</v>
      </c>
      <c r="F776" s="150" t="s">
        <v>29</v>
      </c>
      <c r="G776" s="150" t="s">
        <v>15</v>
      </c>
      <c r="H776" s="150" t="s">
        <v>124</v>
      </c>
      <c r="I776" s="150" t="s">
        <v>944</v>
      </c>
      <c r="J776" s="151">
        <v>45604</v>
      </c>
      <c r="K776" s="135" t="s">
        <v>117</v>
      </c>
      <c r="L776" s="135">
        <v>461000535</v>
      </c>
      <c r="M776" s="151">
        <v>45605</v>
      </c>
      <c r="N776" s="152">
        <v>45605.020833333336</v>
      </c>
      <c r="O776" s="152">
        <v>45605.020833333336</v>
      </c>
      <c r="P776" s="152">
        <v>45605.027777777781</v>
      </c>
      <c r="Q776" s="152">
        <v>45605.21875</v>
      </c>
      <c r="R776" s="152" t="s">
        <v>118</v>
      </c>
      <c r="S776" s="152" t="s">
        <v>118</v>
      </c>
      <c r="T776" s="152">
        <v>45605.260416666664</v>
      </c>
      <c r="U776" s="152">
        <v>45605.406944444447</v>
      </c>
      <c r="V776" s="219">
        <f t="shared" si="460"/>
        <v>0.19791666666424135</v>
      </c>
      <c r="W776" s="203">
        <v>0.20833333333333334</v>
      </c>
      <c r="X776" s="219" t="str">
        <f t="shared" si="461"/>
        <v>00:00</v>
      </c>
      <c r="Y776" s="96">
        <v>0</v>
      </c>
      <c r="Z776" s="96">
        <v>58</v>
      </c>
      <c r="AA776" s="96">
        <f t="shared" si="432"/>
        <v>58</v>
      </c>
      <c r="AB776" s="97">
        <f t="shared" si="433"/>
        <v>0</v>
      </c>
      <c r="AC776" s="97">
        <f t="shared" si="434"/>
        <v>3943.0299999999997</v>
      </c>
      <c r="AD776" s="98">
        <v>3943.03</v>
      </c>
      <c r="AE776" s="98">
        <v>4027.3</v>
      </c>
      <c r="AF776" s="98">
        <v>4030.6</v>
      </c>
      <c r="AG776" s="98">
        <f t="shared" si="435"/>
        <v>87.569999999999709</v>
      </c>
      <c r="AH776" s="99">
        <v>797.2</v>
      </c>
      <c r="AI776" s="100">
        <f t="shared" si="436"/>
        <v>3213194.3200000003</v>
      </c>
      <c r="AJ776" s="100">
        <f t="shared" si="470"/>
        <v>0</v>
      </c>
      <c r="AK776" s="100">
        <v>0</v>
      </c>
      <c r="AL776" s="100">
        <v>0</v>
      </c>
      <c r="AM776" s="100">
        <v>0</v>
      </c>
      <c r="AN776" s="100">
        <v>0</v>
      </c>
      <c r="AO776" s="100">
        <v>0</v>
      </c>
      <c r="AP776" s="100">
        <f t="shared" si="469"/>
        <v>160660</v>
      </c>
      <c r="AQ776" s="101">
        <f t="shared" si="459"/>
        <v>3373855</v>
      </c>
      <c r="AR776" s="101">
        <v>0</v>
      </c>
      <c r="AS776" s="101">
        <v>0</v>
      </c>
      <c r="AT776" s="102" t="s">
        <v>33</v>
      </c>
      <c r="AU776" s="109" t="s">
        <v>118</v>
      </c>
      <c r="AV776" s="100">
        <v>0</v>
      </c>
      <c r="AW776" s="262">
        <v>0</v>
      </c>
      <c r="AX776" s="216">
        <f t="shared" si="462"/>
        <v>2.1726293852031882</v>
      </c>
      <c r="AY776" s="217">
        <f t="shared" si="463"/>
        <v>69811</v>
      </c>
      <c r="AZ776" s="107"/>
      <c r="BA776" s="94">
        <v>45605.020833333336</v>
      </c>
      <c r="BB776" s="94">
        <v>45605.027777777781</v>
      </c>
      <c r="BC776" s="94">
        <v>45605.027777777781</v>
      </c>
      <c r="BD776" s="94">
        <v>45605.223611111112</v>
      </c>
      <c r="BE776" s="95">
        <f t="shared" si="464"/>
        <v>0.20277777777664596</v>
      </c>
      <c r="BF776" s="95">
        <v>0</v>
      </c>
      <c r="BG776" s="95">
        <v>7.4999999999999997E-2</v>
      </c>
      <c r="BH776" s="95">
        <f t="shared" si="465"/>
        <v>6.9444444452528842E-3</v>
      </c>
      <c r="BI776" s="95">
        <f t="shared" si="465"/>
        <v>0</v>
      </c>
      <c r="BJ776" s="95">
        <f t="shared" si="465"/>
        <v>0.19583333333139308</v>
      </c>
      <c r="BK776" s="95">
        <f t="shared" si="466"/>
        <v>0.19583333333139308</v>
      </c>
      <c r="BL776" s="95">
        <f t="shared" si="467"/>
        <v>0.12083333333139308</v>
      </c>
      <c r="BM776" s="95" t="str">
        <f t="shared" si="468"/>
        <v>00:00</v>
      </c>
      <c r="BN776" s="110"/>
    </row>
    <row r="777" spans="1:66" s="8" customFormat="1" ht="12.75" customHeight="1" x14ac:dyDescent="0.25">
      <c r="A777" s="150">
        <v>708</v>
      </c>
      <c r="B777" s="150">
        <v>17</v>
      </c>
      <c r="C777" s="90">
        <v>22</v>
      </c>
      <c r="D777" s="111" t="s">
        <v>113</v>
      </c>
      <c r="E777" s="210" t="s">
        <v>863</v>
      </c>
      <c r="F777" s="150" t="s">
        <v>32</v>
      </c>
      <c r="G777" s="150" t="s">
        <v>8</v>
      </c>
      <c r="H777" s="150" t="s">
        <v>783</v>
      </c>
      <c r="I777" s="150" t="s">
        <v>945</v>
      </c>
      <c r="J777" s="151">
        <v>45605</v>
      </c>
      <c r="K777" s="135" t="s">
        <v>122</v>
      </c>
      <c r="L777" s="135">
        <v>281000256</v>
      </c>
      <c r="M777" s="151">
        <v>45605</v>
      </c>
      <c r="N777" s="152">
        <v>45605.295138888891</v>
      </c>
      <c r="O777" s="152">
        <v>45605.295138888891</v>
      </c>
      <c r="P777" s="152">
        <v>45605.298611111109</v>
      </c>
      <c r="Q777" s="152">
        <v>45605.479166666664</v>
      </c>
      <c r="R777" s="152" t="s">
        <v>118</v>
      </c>
      <c r="S777" s="152" t="s">
        <v>118</v>
      </c>
      <c r="T777" s="152">
        <v>45605.583333333336</v>
      </c>
      <c r="U777" s="152">
        <v>45605.668055555558</v>
      </c>
      <c r="V777" s="219">
        <f t="shared" si="460"/>
        <v>0.18402777777373558</v>
      </c>
      <c r="W777" s="203">
        <v>0.20833333333333334</v>
      </c>
      <c r="X777" s="219" t="str">
        <f t="shared" si="461"/>
        <v>00:00</v>
      </c>
      <c r="Y777" s="96">
        <v>1</v>
      </c>
      <c r="Z777" s="96">
        <v>57</v>
      </c>
      <c r="AA777" s="96">
        <f t="shared" si="432"/>
        <v>58</v>
      </c>
      <c r="AB777" s="97">
        <f t="shared" si="433"/>
        <v>67.014310344827578</v>
      </c>
      <c r="AC777" s="97">
        <f t="shared" si="434"/>
        <v>3819.8156896551718</v>
      </c>
      <c r="AD777" s="98">
        <v>3886.83</v>
      </c>
      <c r="AE777" s="98">
        <v>4022.7</v>
      </c>
      <c r="AF777" s="98">
        <v>4022.8</v>
      </c>
      <c r="AG777" s="98">
        <f t="shared" si="435"/>
        <v>135.97000000000025</v>
      </c>
      <c r="AH777" s="99">
        <v>1228</v>
      </c>
      <c r="AI777" s="100">
        <f t="shared" si="436"/>
        <v>4939998.4000000004</v>
      </c>
      <c r="AJ777" s="100">
        <f t="shared" si="470"/>
        <v>0</v>
      </c>
      <c r="AK777" s="100">
        <v>0</v>
      </c>
      <c r="AL777" s="100">
        <v>0</v>
      </c>
      <c r="AM777" s="100">
        <v>0</v>
      </c>
      <c r="AN777" s="100">
        <v>0</v>
      </c>
      <c r="AO777" s="100">
        <v>0</v>
      </c>
      <c r="AP777" s="100">
        <f t="shared" si="469"/>
        <v>247000</v>
      </c>
      <c r="AQ777" s="101">
        <f t="shared" si="459"/>
        <v>5186999</v>
      </c>
      <c r="AR777" s="101">
        <v>0</v>
      </c>
      <c r="AS777" s="101">
        <v>0</v>
      </c>
      <c r="AT777" s="102" t="s">
        <v>33</v>
      </c>
      <c r="AU777" s="109" t="s">
        <v>118</v>
      </c>
      <c r="AV777" s="100">
        <v>0</v>
      </c>
      <c r="AW777" s="262">
        <v>0</v>
      </c>
      <c r="AX777" s="216">
        <f t="shared" si="462"/>
        <v>3.379984090683112</v>
      </c>
      <c r="AY777" s="217">
        <f t="shared" si="463"/>
        <v>166972</v>
      </c>
      <c r="AZ777" s="107"/>
      <c r="BA777" s="94">
        <v>45605.295138888891</v>
      </c>
      <c r="BB777" s="94">
        <v>45605.298611111109</v>
      </c>
      <c r="BC777" s="94">
        <v>45605.298611111109</v>
      </c>
      <c r="BD777" s="94">
        <v>45605.438194444447</v>
      </c>
      <c r="BE777" s="95">
        <f t="shared" si="464"/>
        <v>0.14305555555620231</v>
      </c>
      <c r="BF777" s="95">
        <v>0</v>
      </c>
      <c r="BG777" s="95">
        <v>2.7777777777777779E-3</v>
      </c>
      <c r="BH777" s="95">
        <f t="shared" si="465"/>
        <v>3.4722222189884633E-3</v>
      </c>
      <c r="BI777" s="95">
        <f t="shared" si="465"/>
        <v>0</v>
      </c>
      <c r="BJ777" s="95">
        <f t="shared" si="465"/>
        <v>0.13958333333721384</v>
      </c>
      <c r="BK777" s="95">
        <f t="shared" si="466"/>
        <v>0.13958333333721384</v>
      </c>
      <c r="BL777" s="95">
        <f t="shared" si="467"/>
        <v>0.13680555555943608</v>
      </c>
      <c r="BM777" s="95" t="str">
        <f t="shared" si="468"/>
        <v>00:00</v>
      </c>
      <c r="BN777" s="110"/>
    </row>
    <row r="778" spans="1:66" s="8" customFormat="1" ht="12.75" customHeight="1" x14ac:dyDescent="0.25">
      <c r="A778" s="150">
        <v>709</v>
      </c>
      <c r="B778" s="150">
        <v>18</v>
      </c>
      <c r="C778" s="90">
        <v>10</v>
      </c>
      <c r="D778" s="111" t="s">
        <v>148</v>
      </c>
      <c r="E778" s="210" t="s">
        <v>935</v>
      </c>
      <c r="F778" s="150" t="s">
        <v>19</v>
      </c>
      <c r="G778" s="150" t="s">
        <v>17</v>
      </c>
      <c r="H778" s="150" t="s">
        <v>150</v>
      </c>
      <c r="I778" s="150" t="s">
        <v>233</v>
      </c>
      <c r="J778" s="151">
        <v>45605</v>
      </c>
      <c r="K778" s="135" t="s">
        <v>122</v>
      </c>
      <c r="L778" s="135">
        <v>461000536</v>
      </c>
      <c r="M778" s="151">
        <v>45606</v>
      </c>
      <c r="N778" s="152">
        <v>45605.697916666664</v>
      </c>
      <c r="O778" s="152">
        <v>45605.697916666664</v>
      </c>
      <c r="P778" s="152">
        <v>45605.708333333336</v>
      </c>
      <c r="Q778" s="152">
        <v>45605.895833333336</v>
      </c>
      <c r="R778" s="152" t="s">
        <v>118</v>
      </c>
      <c r="S778" s="152" t="s">
        <v>118</v>
      </c>
      <c r="T778" s="152">
        <v>45605.927083333336</v>
      </c>
      <c r="U778" s="152">
        <v>45606.097222222219</v>
      </c>
      <c r="V778" s="219">
        <f t="shared" si="460"/>
        <v>0.19791666667151731</v>
      </c>
      <c r="W778" s="203">
        <v>0.20833333333333334</v>
      </c>
      <c r="X778" s="219" t="str">
        <f t="shared" si="461"/>
        <v>00:00</v>
      </c>
      <c r="Y778" s="96">
        <v>0</v>
      </c>
      <c r="Z778" s="96">
        <v>58</v>
      </c>
      <c r="AA778" s="96">
        <f t="shared" si="432"/>
        <v>58</v>
      </c>
      <c r="AB778" s="97">
        <f t="shared" si="433"/>
        <v>0</v>
      </c>
      <c r="AC778" s="97">
        <f t="shared" si="434"/>
        <v>3988.62</v>
      </c>
      <c r="AD778" s="98">
        <v>3988.62</v>
      </c>
      <c r="AE778" s="98">
        <v>4008.7</v>
      </c>
      <c r="AF778" s="98">
        <v>4031.4</v>
      </c>
      <c r="AG778" s="98">
        <f t="shared" si="435"/>
        <v>42.7800000000002</v>
      </c>
      <c r="AH778" s="99">
        <v>672.5</v>
      </c>
      <c r="AI778" s="100">
        <f t="shared" si="436"/>
        <v>2711116.5</v>
      </c>
      <c r="AJ778" s="100">
        <f t="shared" si="470"/>
        <v>0</v>
      </c>
      <c r="AK778" s="100">
        <v>0</v>
      </c>
      <c r="AL778" s="100">
        <v>24140</v>
      </c>
      <c r="AM778" s="100">
        <v>0</v>
      </c>
      <c r="AN778" s="100">
        <v>0</v>
      </c>
      <c r="AO778" s="100">
        <v>0</v>
      </c>
      <c r="AP778" s="100">
        <f t="shared" si="469"/>
        <v>136763</v>
      </c>
      <c r="AQ778" s="101">
        <f t="shared" si="459"/>
        <v>2872020</v>
      </c>
      <c r="AR778" s="101">
        <v>0</v>
      </c>
      <c r="AS778" s="101">
        <v>0</v>
      </c>
      <c r="AT778" s="102" t="s">
        <v>33</v>
      </c>
      <c r="AU778" s="109">
        <v>15</v>
      </c>
      <c r="AV778" s="100">
        <f>34.69-19.19</f>
        <v>15.499999999999996</v>
      </c>
      <c r="AW778" s="262">
        <v>0</v>
      </c>
      <c r="AX778" s="216">
        <f t="shared" si="462"/>
        <v>1.0611698169370491</v>
      </c>
      <c r="AY778" s="217">
        <f t="shared" si="463"/>
        <v>28770</v>
      </c>
      <c r="AZ778" s="107"/>
      <c r="BA778" s="94">
        <v>45605.697916666664</v>
      </c>
      <c r="BB778" s="94">
        <v>45605.708333333336</v>
      </c>
      <c r="BC778" s="94">
        <v>45605.715277777781</v>
      </c>
      <c r="BD778" s="94">
        <v>45605.890277777777</v>
      </c>
      <c r="BE778" s="95">
        <f t="shared" si="464"/>
        <v>0.19236111111240461</v>
      </c>
      <c r="BF778" s="95">
        <v>0</v>
      </c>
      <c r="BG778" s="95">
        <v>4.1666666666666664E-2</v>
      </c>
      <c r="BH778" s="95">
        <f t="shared" si="465"/>
        <v>1.0416666671517305E-2</v>
      </c>
      <c r="BI778" s="95">
        <f t="shared" si="465"/>
        <v>6.9444444452528842E-3</v>
      </c>
      <c r="BJ778" s="95">
        <f t="shared" si="465"/>
        <v>0.17499999999563443</v>
      </c>
      <c r="BK778" s="95">
        <f t="shared" si="466"/>
        <v>0.18194444444088731</v>
      </c>
      <c r="BL778" s="95">
        <f t="shared" si="467"/>
        <v>0.14027777777422065</v>
      </c>
      <c r="BM778" s="95" t="str">
        <f t="shared" si="468"/>
        <v>00:00</v>
      </c>
      <c r="BN778" s="110"/>
    </row>
    <row r="779" spans="1:66" s="8" customFormat="1" ht="12.75" customHeight="1" x14ac:dyDescent="0.25">
      <c r="A779" s="150">
        <v>710</v>
      </c>
      <c r="B779" s="150">
        <v>19</v>
      </c>
      <c r="C779" s="90">
        <v>4</v>
      </c>
      <c r="D779" s="111" t="s">
        <v>113</v>
      </c>
      <c r="E779" s="210" t="s">
        <v>940</v>
      </c>
      <c r="F779" s="150" t="s">
        <v>29</v>
      </c>
      <c r="G779" s="150" t="s">
        <v>15</v>
      </c>
      <c r="H779" s="150" t="s">
        <v>124</v>
      </c>
      <c r="I779" s="150" t="s">
        <v>946</v>
      </c>
      <c r="J779" s="151"/>
      <c r="K779" s="135" t="s">
        <v>117</v>
      </c>
      <c r="L779" s="135">
        <v>461000537</v>
      </c>
      <c r="M779" s="151">
        <v>45606</v>
      </c>
      <c r="N779" s="152">
        <v>45605.822916666664</v>
      </c>
      <c r="O779" s="152">
        <v>45605.822916666664</v>
      </c>
      <c r="P779" s="152">
        <v>45605.826388888891</v>
      </c>
      <c r="Q779" s="152">
        <v>45605.989583333336</v>
      </c>
      <c r="R779" s="152" t="s">
        <v>118</v>
      </c>
      <c r="S779" s="152">
        <v>45606.145833333336</v>
      </c>
      <c r="T779" s="152">
        <v>45606.118055555555</v>
      </c>
      <c r="U779" s="152">
        <v>45606.227777777778</v>
      </c>
      <c r="V779" s="219">
        <f t="shared" si="460"/>
        <v>0.16666666667151731</v>
      </c>
      <c r="W779" s="203">
        <v>0.20833333333333334</v>
      </c>
      <c r="X779" s="219" t="str">
        <f t="shared" si="461"/>
        <v>00:00</v>
      </c>
      <c r="Y779" s="96">
        <v>0</v>
      </c>
      <c r="Z779" s="96">
        <v>59</v>
      </c>
      <c r="AA779" s="96">
        <f t="shared" si="432"/>
        <v>59</v>
      </c>
      <c r="AB779" s="97">
        <f t="shared" si="433"/>
        <v>0</v>
      </c>
      <c r="AC779" s="97">
        <f t="shared" si="434"/>
        <v>4020.83</v>
      </c>
      <c r="AD779" s="98">
        <v>4020.83</v>
      </c>
      <c r="AE779" s="98">
        <v>4096.7</v>
      </c>
      <c r="AF779" s="98">
        <v>4099</v>
      </c>
      <c r="AG779" s="98">
        <f t="shared" si="435"/>
        <v>78.170000000000073</v>
      </c>
      <c r="AH779" s="99">
        <v>797.2</v>
      </c>
      <c r="AI779" s="100">
        <f t="shared" si="436"/>
        <v>3267722.8000000003</v>
      </c>
      <c r="AJ779" s="100">
        <f t="shared" si="470"/>
        <v>0</v>
      </c>
      <c r="AK779" s="100">
        <v>0</v>
      </c>
      <c r="AL779" s="100">
        <v>0</v>
      </c>
      <c r="AM779" s="100">
        <v>0</v>
      </c>
      <c r="AN779" s="100">
        <v>0</v>
      </c>
      <c r="AO779" s="100">
        <v>0</v>
      </c>
      <c r="AP779" s="100">
        <f t="shared" si="469"/>
        <v>163387</v>
      </c>
      <c r="AQ779" s="101">
        <f t="shared" si="459"/>
        <v>3431110</v>
      </c>
      <c r="AR779" s="101">
        <v>0</v>
      </c>
      <c r="AS779" s="101">
        <v>0</v>
      </c>
      <c r="AT779" s="102" t="s">
        <v>33</v>
      </c>
      <c r="AU779" s="109" t="s">
        <v>118</v>
      </c>
      <c r="AV779" s="100">
        <v>0</v>
      </c>
      <c r="AW779" s="262">
        <v>3</v>
      </c>
      <c r="AX779" s="216">
        <f t="shared" si="462"/>
        <v>1.9070505001219829</v>
      </c>
      <c r="AY779" s="217">
        <f t="shared" si="463"/>
        <v>62318</v>
      </c>
      <c r="AZ779" s="107"/>
      <c r="BA779" s="94">
        <v>45605.822916666664</v>
      </c>
      <c r="BB779" s="94">
        <v>45605.826388888891</v>
      </c>
      <c r="BC779" s="94">
        <v>45605.944444444445</v>
      </c>
      <c r="BD779" s="94">
        <v>45606.140277777777</v>
      </c>
      <c r="BE779" s="95">
        <f t="shared" si="464"/>
        <v>0.31736111111240461</v>
      </c>
      <c r="BF779" s="95">
        <v>2.6388888888888889E-2</v>
      </c>
      <c r="BG779" s="95">
        <v>0.15625</v>
      </c>
      <c r="BH779" s="95">
        <f t="shared" si="465"/>
        <v>3.4722222262644209E-3</v>
      </c>
      <c r="BI779" s="95">
        <f t="shared" si="465"/>
        <v>0.11805555555474712</v>
      </c>
      <c r="BJ779" s="95">
        <f t="shared" si="465"/>
        <v>0.19583333333139308</v>
      </c>
      <c r="BK779" s="95">
        <f t="shared" si="466"/>
        <v>0.31388888888614019</v>
      </c>
      <c r="BL779" s="95">
        <f t="shared" si="467"/>
        <v>0.13124999999725129</v>
      </c>
      <c r="BM779" s="95">
        <f t="shared" si="468"/>
        <v>0.10902777777907127</v>
      </c>
      <c r="BN779" s="110"/>
    </row>
    <row r="780" spans="1:66" s="8" customFormat="1" ht="12.75" customHeight="1" x14ac:dyDescent="0.25">
      <c r="A780" s="150">
        <v>711</v>
      </c>
      <c r="B780" s="150">
        <v>20</v>
      </c>
      <c r="C780" s="90">
        <v>11</v>
      </c>
      <c r="D780" s="111" t="s">
        <v>148</v>
      </c>
      <c r="E780" s="210" t="s">
        <v>935</v>
      </c>
      <c r="F780" s="150" t="s">
        <v>19</v>
      </c>
      <c r="G780" s="150" t="s">
        <v>17</v>
      </c>
      <c r="H780" s="150" t="s">
        <v>150</v>
      </c>
      <c r="I780" s="150" t="s">
        <v>238</v>
      </c>
      <c r="J780" s="151">
        <v>45605</v>
      </c>
      <c r="K780" s="135" t="s">
        <v>122</v>
      </c>
      <c r="L780" s="135">
        <v>461000538</v>
      </c>
      <c r="M780" s="151">
        <v>45606</v>
      </c>
      <c r="N780" s="152">
        <v>45606.541666666664</v>
      </c>
      <c r="O780" s="152">
        <v>45606.541666666664</v>
      </c>
      <c r="P780" s="152">
        <v>45606.545138888891</v>
      </c>
      <c r="Q780" s="152">
        <v>45606.729166666664</v>
      </c>
      <c r="R780" s="152" t="s">
        <v>118</v>
      </c>
      <c r="S780" s="152" t="s">
        <v>118</v>
      </c>
      <c r="T780" s="152">
        <v>45606.770833333336</v>
      </c>
      <c r="U780" s="152">
        <v>45606.885416666664</v>
      </c>
      <c r="V780" s="219">
        <f t="shared" si="460"/>
        <v>0.1875</v>
      </c>
      <c r="W780" s="203">
        <v>0.20833333333333334</v>
      </c>
      <c r="X780" s="219" t="str">
        <f t="shared" si="461"/>
        <v>00:00</v>
      </c>
      <c r="Y780" s="96">
        <v>1</v>
      </c>
      <c r="Z780" s="96">
        <v>57</v>
      </c>
      <c r="AA780" s="96">
        <f t="shared" si="432"/>
        <v>58</v>
      </c>
      <c r="AB780" s="97">
        <f t="shared" si="433"/>
        <v>69.680172413793102</v>
      </c>
      <c r="AC780" s="97">
        <f t="shared" si="434"/>
        <v>3971.7698275862067</v>
      </c>
      <c r="AD780" s="98">
        <v>4041.45</v>
      </c>
      <c r="AE780" s="98">
        <v>4037.1</v>
      </c>
      <c r="AF780" s="98">
        <v>4059.6</v>
      </c>
      <c r="AG780" s="98">
        <f t="shared" si="435"/>
        <v>18.150000000000091</v>
      </c>
      <c r="AH780" s="99">
        <v>672.5</v>
      </c>
      <c r="AI780" s="100">
        <f t="shared" si="436"/>
        <v>2730081</v>
      </c>
      <c r="AJ780" s="100">
        <f t="shared" si="470"/>
        <v>0</v>
      </c>
      <c r="AK780" s="100">
        <v>0</v>
      </c>
      <c r="AL780" s="100">
        <v>24140</v>
      </c>
      <c r="AM780" s="100">
        <v>0</v>
      </c>
      <c r="AN780" s="100">
        <v>0</v>
      </c>
      <c r="AO780" s="100">
        <v>0</v>
      </c>
      <c r="AP780" s="100">
        <f t="shared" si="469"/>
        <v>137712</v>
      </c>
      <c r="AQ780" s="101">
        <f t="shared" si="459"/>
        <v>2891933</v>
      </c>
      <c r="AR780" s="101">
        <v>0</v>
      </c>
      <c r="AS780" s="101">
        <v>0</v>
      </c>
      <c r="AT780" s="102" t="s">
        <v>33</v>
      </c>
      <c r="AU780" s="109">
        <v>8</v>
      </c>
      <c r="AV780" s="100">
        <f>27.61-21.11</f>
        <v>6.5</v>
      </c>
      <c r="AW780" s="262">
        <v>0</v>
      </c>
      <c r="AX780" s="216">
        <f t="shared" si="462"/>
        <v>0.4470883830919325</v>
      </c>
      <c r="AY780" s="217">
        <f t="shared" si="463"/>
        <v>12206</v>
      </c>
      <c r="AZ780" s="107"/>
      <c r="BA780" s="94">
        <v>45606.541666666664</v>
      </c>
      <c r="BB780" s="94">
        <v>45606.545138888891</v>
      </c>
      <c r="BC780" s="94">
        <v>45606.552083333336</v>
      </c>
      <c r="BD780" s="94">
        <v>45606.688888888886</v>
      </c>
      <c r="BE780" s="95">
        <f t="shared" si="464"/>
        <v>0.14722222222189885</v>
      </c>
      <c r="BF780" s="95">
        <v>0</v>
      </c>
      <c r="BG780" s="95">
        <v>1.1111111111111112E-2</v>
      </c>
      <c r="BH780" s="95">
        <f t="shared" si="465"/>
        <v>3.4722222262644209E-3</v>
      </c>
      <c r="BI780" s="95">
        <f t="shared" si="465"/>
        <v>6.9444444452528842E-3</v>
      </c>
      <c r="BJ780" s="95">
        <f t="shared" si="465"/>
        <v>0.13680555555038154</v>
      </c>
      <c r="BK780" s="95">
        <f t="shared" si="466"/>
        <v>0.14374999999563443</v>
      </c>
      <c r="BL780" s="95">
        <f t="shared" si="467"/>
        <v>0.13263888888452333</v>
      </c>
      <c r="BM780" s="95" t="str">
        <f t="shared" si="468"/>
        <v>00:00</v>
      </c>
      <c r="BN780" s="110"/>
    </row>
    <row r="781" spans="1:66" s="8" customFormat="1" ht="12.75" customHeight="1" x14ac:dyDescent="0.25">
      <c r="A781" s="150">
        <v>712</v>
      </c>
      <c r="B781" s="150">
        <v>21</v>
      </c>
      <c r="C781" s="90">
        <v>12</v>
      </c>
      <c r="D781" s="111" t="s">
        <v>148</v>
      </c>
      <c r="E781" s="210" t="s">
        <v>935</v>
      </c>
      <c r="F781" s="150" t="s">
        <v>19</v>
      </c>
      <c r="G781" s="150" t="s">
        <v>17</v>
      </c>
      <c r="H781" s="150" t="s">
        <v>150</v>
      </c>
      <c r="I781" s="150" t="s">
        <v>240</v>
      </c>
      <c r="J781" s="151">
        <v>45606</v>
      </c>
      <c r="K781" s="135" t="s">
        <v>117</v>
      </c>
      <c r="L781" s="135">
        <v>461000539</v>
      </c>
      <c r="M781" s="151">
        <v>45607</v>
      </c>
      <c r="N781" s="152">
        <v>45606.75</v>
      </c>
      <c r="O781" s="152">
        <v>45606.75</v>
      </c>
      <c r="P781" s="152">
        <v>45606.760416666664</v>
      </c>
      <c r="Q781" s="152">
        <v>45606.9375</v>
      </c>
      <c r="R781" s="152" t="s">
        <v>118</v>
      </c>
      <c r="S781" s="152" t="s">
        <v>118</v>
      </c>
      <c r="T781" s="152">
        <v>45606.958333333336</v>
      </c>
      <c r="U781" s="152">
        <v>45607.169444444444</v>
      </c>
      <c r="V781" s="219">
        <f t="shared" si="460"/>
        <v>0.1875</v>
      </c>
      <c r="W781" s="203">
        <v>0.20833333333333334</v>
      </c>
      <c r="X781" s="219" t="str">
        <f t="shared" si="461"/>
        <v>00:00</v>
      </c>
      <c r="Y781" s="96">
        <v>1</v>
      </c>
      <c r="Z781" s="96">
        <v>57</v>
      </c>
      <c r="AA781" s="96">
        <f t="shared" si="432"/>
        <v>58</v>
      </c>
      <c r="AB781" s="97">
        <f t="shared" si="433"/>
        <v>66.84482758620689</v>
      </c>
      <c r="AC781" s="97">
        <f t="shared" si="434"/>
        <v>3810.1551724137926</v>
      </c>
      <c r="AD781" s="98">
        <v>3877</v>
      </c>
      <c r="AE781" s="98">
        <v>4060</v>
      </c>
      <c r="AF781" s="98">
        <v>4060</v>
      </c>
      <c r="AG781" s="98">
        <f t="shared" si="435"/>
        <v>183</v>
      </c>
      <c r="AH781" s="99">
        <v>672.5</v>
      </c>
      <c r="AI781" s="100">
        <f t="shared" si="436"/>
        <v>2730350</v>
      </c>
      <c r="AJ781" s="100">
        <f t="shared" si="470"/>
        <v>0</v>
      </c>
      <c r="AK781" s="100">
        <v>0</v>
      </c>
      <c r="AL781" s="100">
        <v>0</v>
      </c>
      <c r="AM781" s="100">
        <v>0</v>
      </c>
      <c r="AN781" s="100">
        <v>0</v>
      </c>
      <c r="AO781" s="100">
        <v>0</v>
      </c>
      <c r="AP781" s="100">
        <f t="shared" si="469"/>
        <v>136518</v>
      </c>
      <c r="AQ781" s="101">
        <f t="shared" si="459"/>
        <v>2866868</v>
      </c>
      <c r="AR781" s="101">
        <v>0</v>
      </c>
      <c r="AS781" s="101">
        <v>0</v>
      </c>
      <c r="AT781" s="102" t="s">
        <v>33</v>
      </c>
      <c r="AU781" s="109" t="s">
        <v>118</v>
      </c>
      <c r="AV781" s="100">
        <v>0</v>
      </c>
      <c r="AW781" s="262">
        <v>0</v>
      </c>
      <c r="AX781" s="216">
        <f t="shared" si="462"/>
        <v>4.5073891625615765</v>
      </c>
      <c r="AY781" s="217">
        <f t="shared" si="463"/>
        <v>123068</v>
      </c>
      <c r="AZ781" s="107"/>
      <c r="BA781" s="94">
        <v>45606.75</v>
      </c>
      <c r="BB781" s="94">
        <v>45606.760416666664</v>
      </c>
      <c r="BC781" s="94">
        <v>45606.760416666664</v>
      </c>
      <c r="BD781" s="94">
        <v>45606.911111111112</v>
      </c>
      <c r="BE781" s="95">
        <f t="shared" si="464"/>
        <v>0.16111111111240461</v>
      </c>
      <c r="BF781" s="95">
        <v>1.5972222222222221E-2</v>
      </c>
      <c r="BG781" s="95">
        <v>0</v>
      </c>
      <c r="BH781" s="95">
        <f t="shared" si="465"/>
        <v>1.0416666664241347E-2</v>
      </c>
      <c r="BI781" s="95">
        <f t="shared" si="465"/>
        <v>0</v>
      </c>
      <c r="BJ781" s="95">
        <f t="shared" si="465"/>
        <v>0.15069444444816327</v>
      </c>
      <c r="BK781" s="95">
        <f t="shared" si="466"/>
        <v>0.15069444444816327</v>
      </c>
      <c r="BL781" s="95">
        <f t="shared" si="467"/>
        <v>0.13472222222594105</v>
      </c>
      <c r="BM781" s="95" t="str">
        <f t="shared" si="468"/>
        <v>00:00</v>
      </c>
      <c r="BN781" s="110"/>
    </row>
    <row r="782" spans="1:66" s="8" customFormat="1" ht="12.75" customHeight="1" x14ac:dyDescent="0.25">
      <c r="A782" s="150">
        <v>713</v>
      </c>
      <c r="B782" s="150">
        <v>22</v>
      </c>
      <c r="C782" s="90">
        <v>23</v>
      </c>
      <c r="D782" s="111" t="s">
        <v>113</v>
      </c>
      <c r="E782" s="210" t="s">
        <v>863</v>
      </c>
      <c r="F782" s="150" t="s">
        <v>32</v>
      </c>
      <c r="G782" s="150" t="s">
        <v>8</v>
      </c>
      <c r="H782" s="150" t="s">
        <v>779</v>
      </c>
      <c r="I782" s="150" t="s">
        <v>374</v>
      </c>
      <c r="J782" s="151">
        <v>45606</v>
      </c>
      <c r="K782" s="135" t="s">
        <v>122</v>
      </c>
      <c r="L782" s="135">
        <v>281000257</v>
      </c>
      <c r="M782" s="151">
        <v>45607</v>
      </c>
      <c r="N782" s="152">
        <v>45607.208333333336</v>
      </c>
      <c r="O782" s="152">
        <v>45607.208333333336</v>
      </c>
      <c r="P782" s="152">
        <v>45607.222222222219</v>
      </c>
      <c r="Q782" s="152">
        <v>45607.40625</v>
      </c>
      <c r="R782" s="152" t="s">
        <v>118</v>
      </c>
      <c r="S782" s="152" t="s">
        <v>118</v>
      </c>
      <c r="T782" s="152">
        <v>45607.416666666664</v>
      </c>
      <c r="U782" s="152">
        <v>45607.500694444447</v>
      </c>
      <c r="V782" s="219">
        <f t="shared" si="460"/>
        <v>0.19791666666424135</v>
      </c>
      <c r="W782" s="203">
        <v>0.20833333333333334</v>
      </c>
      <c r="X782" s="219" t="str">
        <f t="shared" si="461"/>
        <v>00:00</v>
      </c>
      <c r="Y782" s="96">
        <v>1</v>
      </c>
      <c r="Z782" s="96">
        <v>58</v>
      </c>
      <c r="AA782" s="96">
        <f t="shared" si="432"/>
        <v>59</v>
      </c>
      <c r="AB782" s="97">
        <f t="shared" si="433"/>
        <v>63.838474576271182</v>
      </c>
      <c r="AC782" s="97">
        <f t="shared" si="434"/>
        <v>3702.6315254237284</v>
      </c>
      <c r="AD782" s="98">
        <v>3766.47</v>
      </c>
      <c r="AE782" s="98">
        <v>4128</v>
      </c>
      <c r="AF782" s="98">
        <v>4128</v>
      </c>
      <c r="AG782" s="98">
        <f t="shared" si="435"/>
        <v>361.5300000000002</v>
      </c>
      <c r="AH782" s="99">
        <v>1435.6</v>
      </c>
      <c r="AI782" s="100">
        <f t="shared" si="436"/>
        <v>5926156.7999999998</v>
      </c>
      <c r="AJ782" s="100">
        <f t="shared" si="470"/>
        <v>0</v>
      </c>
      <c r="AK782" s="100">
        <v>0</v>
      </c>
      <c r="AL782" s="100">
        <v>0</v>
      </c>
      <c r="AM782" s="100">
        <v>0</v>
      </c>
      <c r="AN782" s="100">
        <v>0</v>
      </c>
      <c r="AO782" s="100">
        <v>0</v>
      </c>
      <c r="AP782" s="100">
        <f t="shared" si="469"/>
        <v>296308</v>
      </c>
      <c r="AQ782" s="101">
        <f t="shared" si="459"/>
        <v>6222465</v>
      </c>
      <c r="AR782" s="101">
        <v>0</v>
      </c>
      <c r="AS782" s="101">
        <v>0</v>
      </c>
      <c r="AT782" s="102" t="s">
        <v>33</v>
      </c>
      <c r="AU782" s="109" t="s">
        <v>118</v>
      </c>
      <c r="AV782" s="100">
        <v>0</v>
      </c>
      <c r="AW782" s="262">
        <v>0</v>
      </c>
      <c r="AX782" s="216">
        <f t="shared" si="462"/>
        <v>8.7579941860465169</v>
      </c>
      <c r="AY782" s="217">
        <f t="shared" si="463"/>
        <v>519013</v>
      </c>
      <c r="AZ782" s="107"/>
      <c r="BA782" s="94">
        <v>45607.208333333336</v>
      </c>
      <c r="BB782" s="94">
        <v>45607.222222222219</v>
      </c>
      <c r="BC782" s="94">
        <v>45607.222222222219</v>
      </c>
      <c r="BD782" s="94">
        <v>45607.381944444445</v>
      </c>
      <c r="BE782" s="95">
        <f t="shared" si="464"/>
        <v>0.17361111110949423</v>
      </c>
      <c r="BF782" s="95">
        <v>3.472222222222222E-3</v>
      </c>
      <c r="BG782" s="95">
        <v>1.5277777777777777E-2</v>
      </c>
      <c r="BH782" s="95">
        <f t="shared" si="465"/>
        <v>1.3888888883229811E-2</v>
      </c>
      <c r="BI782" s="95">
        <f t="shared" si="465"/>
        <v>0</v>
      </c>
      <c r="BJ782" s="95">
        <f t="shared" si="465"/>
        <v>0.15972222222626442</v>
      </c>
      <c r="BK782" s="95">
        <f t="shared" si="466"/>
        <v>0.15972222222626442</v>
      </c>
      <c r="BL782" s="95">
        <f t="shared" si="467"/>
        <v>0.14097222222626443</v>
      </c>
      <c r="BM782" s="95" t="str">
        <f t="shared" si="468"/>
        <v>00:00</v>
      </c>
      <c r="BN782" s="110"/>
    </row>
    <row r="783" spans="1:66" s="8" customFormat="1" ht="12.75" customHeight="1" x14ac:dyDescent="0.25">
      <c r="A783" s="150">
        <v>714</v>
      </c>
      <c r="B783" s="150">
        <v>23</v>
      </c>
      <c r="C783" s="90">
        <v>13</v>
      </c>
      <c r="D783" s="111" t="s">
        <v>148</v>
      </c>
      <c r="E783" s="210" t="s">
        <v>935</v>
      </c>
      <c r="F783" s="150" t="s">
        <v>19</v>
      </c>
      <c r="G783" s="150" t="s">
        <v>17</v>
      </c>
      <c r="H783" s="150" t="s">
        <v>150</v>
      </c>
      <c r="I783" s="150" t="s">
        <v>242</v>
      </c>
      <c r="J783" s="151">
        <v>45606</v>
      </c>
      <c r="K783" s="135" t="s">
        <v>117</v>
      </c>
      <c r="L783" s="135">
        <v>461000540</v>
      </c>
      <c r="M783" s="151">
        <v>45607</v>
      </c>
      <c r="N783" s="152">
        <v>45607.385416666664</v>
      </c>
      <c r="O783" s="152">
        <v>45607.385416666664</v>
      </c>
      <c r="P783" s="152">
        <v>45607.388888888891</v>
      </c>
      <c r="Q783" s="152">
        <v>45607.572916666664</v>
      </c>
      <c r="R783" s="152" t="s">
        <v>118</v>
      </c>
      <c r="S783" s="152" t="s">
        <v>118</v>
      </c>
      <c r="T783" s="152">
        <v>45607.652777777781</v>
      </c>
      <c r="U783" s="152">
        <v>45607.84375</v>
      </c>
      <c r="V783" s="219">
        <f t="shared" si="460"/>
        <v>0.1875</v>
      </c>
      <c r="W783" s="203">
        <v>0.20833333333333334</v>
      </c>
      <c r="X783" s="219" t="str">
        <f t="shared" si="461"/>
        <v>00:00</v>
      </c>
      <c r="Y783" s="96">
        <v>12</v>
      </c>
      <c r="Z783" s="96">
        <v>46</v>
      </c>
      <c r="AA783" s="96">
        <f t="shared" si="432"/>
        <v>58</v>
      </c>
      <c r="AB783" s="97">
        <f t="shared" si="433"/>
        <v>836.10413793103442</v>
      </c>
      <c r="AC783" s="97">
        <f t="shared" si="434"/>
        <v>3205.0658620689651</v>
      </c>
      <c r="AD783" s="98">
        <v>4041.17</v>
      </c>
      <c r="AE783" s="98">
        <v>4029.7</v>
      </c>
      <c r="AF783" s="98">
        <v>4066</v>
      </c>
      <c r="AG783" s="98">
        <f t="shared" si="435"/>
        <v>24.829999999999927</v>
      </c>
      <c r="AH783" s="99">
        <v>672.5</v>
      </c>
      <c r="AI783" s="100">
        <f t="shared" si="436"/>
        <v>2734385</v>
      </c>
      <c r="AJ783" s="100">
        <f t="shared" si="470"/>
        <v>0</v>
      </c>
      <c r="AK783" s="100">
        <v>0</v>
      </c>
      <c r="AL783" s="100">
        <v>24140</v>
      </c>
      <c r="AM783" s="100">
        <v>0</v>
      </c>
      <c r="AN783" s="100">
        <v>0</v>
      </c>
      <c r="AO783" s="100">
        <v>0</v>
      </c>
      <c r="AP783" s="100">
        <f t="shared" si="469"/>
        <v>137927</v>
      </c>
      <c r="AQ783" s="101">
        <f t="shared" si="459"/>
        <v>2896452</v>
      </c>
      <c r="AR783" s="101">
        <v>0</v>
      </c>
      <c r="AS783" s="101">
        <v>0</v>
      </c>
      <c r="AT783" s="102" t="s">
        <v>33</v>
      </c>
      <c r="AU783" s="109">
        <v>25</v>
      </c>
      <c r="AV783" s="100">
        <f>62.38-30.38</f>
        <v>32</v>
      </c>
      <c r="AW783" s="262">
        <v>0</v>
      </c>
      <c r="AX783" s="216">
        <f t="shared" si="462"/>
        <v>0.6106738809640907</v>
      </c>
      <c r="AY783" s="217">
        <f t="shared" si="463"/>
        <v>16699</v>
      </c>
      <c r="AZ783" s="107"/>
      <c r="BA783" s="94">
        <v>45607.385416666664</v>
      </c>
      <c r="BB783" s="94">
        <v>45607.388888888891</v>
      </c>
      <c r="BC783" s="94">
        <v>45607.399305555555</v>
      </c>
      <c r="BD783" s="94">
        <v>45607.525694444441</v>
      </c>
      <c r="BE783" s="95">
        <f t="shared" si="464"/>
        <v>0.14027777777664596</v>
      </c>
      <c r="BF783" s="95">
        <v>1.3888888888888888E-2</v>
      </c>
      <c r="BG783" s="95">
        <v>3.472222222222222E-3</v>
      </c>
      <c r="BH783" s="95">
        <f t="shared" si="465"/>
        <v>3.4722222262644209E-3</v>
      </c>
      <c r="BI783" s="95">
        <f t="shared" si="465"/>
        <v>1.0416666664241347E-2</v>
      </c>
      <c r="BJ783" s="95">
        <f t="shared" si="465"/>
        <v>0.12638888888614019</v>
      </c>
      <c r="BK783" s="95">
        <f t="shared" si="466"/>
        <v>0.13680555555038154</v>
      </c>
      <c r="BL783" s="95">
        <f t="shared" si="467"/>
        <v>0.11944444443927042</v>
      </c>
      <c r="BM783" s="95" t="str">
        <f t="shared" si="468"/>
        <v>00:00</v>
      </c>
      <c r="BN783" s="110"/>
    </row>
    <row r="784" spans="1:66" s="8" customFormat="1" ht="12.75" customHeight="1" x14ac:dyDescent="0.25">
      <c r="A784" s="150">
        <v>715</v>
      </c>
      <c r="B784" s="150">
        <v>24</v>
      </c>
      <c r="C784" s="90">
        <v>14</v>
      </c>
      <c r="D784" s="111" t="s">
        <v>148</v>
      </c>
      <c r="E784" s="210" t="s">
        <v>935</v>
      </c>
      <c r="F784" s="150" t="s">
        <v>19</v>
      </c>
      <c r="G784" s="150" t="s">
        <v>17</v>
      </c>
      <c r="H784" s="150" t="s">
        <v>150</v>
      </c>
      <c r="I784" s="150" t="s">
        <v>244</v>
      </c>
      <c r="J784" s="151">
        <v>45606</v>
      </c>
      <c r="K784" s="135" t="s">
        <v>122</v>
      </c>
      <c r="L784" s="135">
        <v>461000541</v>
      </c>
      <c r="M784" s="151">
        <v>45607</v>
      </c>
      <c r="N784" s="152">
        <v>45607.645833333336</v>
      </c>
      <c r="O784" s="152">
        <v>45607.645833333336</v>
      </c>
      <c r="P784" s="152">
        <v>45607.649305555555</v>
      </c>
      <c r="Q784" s="152">
        <v>45607.833333333336</v>
      </c>
      <c r="R784" s="152" t="s">
        <v>118</v>
      </c>
      <c r="S784" s="152" t="s">
        <v>118</v>
      </c>
      <c r="T784" s="152">
        <v>45607.854166666664</v>
      </c>
      <c r="U784" s="152">
        <v>45607.940972222219</v>
      </c>
      <c r="V784" s="219">
        <f t="shared" si="460"/>
        <v>0.1875</v>
      </c>
      <c r="W784" s="203">
        <v>0.20833333333333334</v>
      </c>
      <c r="X784" s="219" t="str">
        <f t="shared" si="461"/>
        <v>00:00</v>
      </c>
      <c r="Y784" s="96">
        <v>3</v>
      </c>
      <c r="Z784" s="96">
        <v>56</v>
      </c>
      <c r="AA784" s="96">
        <f t="shared" si="432"/>
        <v>59</v>
      </c>
      <c r="AB784" s="97">
        <f t="shared" si="433"/>
        <v>209.37966101694914</v>
      </c>
      <c r="AC784" s="97">
        <f t="shared" si="434"/>
        <v>3908.4203389830509</v>
      </c>
      <c r="AD784" s="98">
        <v>4117.8</v>
      </c>
      <c r="AE784" s="98">
        <v>4102.3999999999996</v>
      </c>
      <c r="AF784" s="98">
        <v>4134.2</v>
      </c>
      <c r="AG784" s="98">
        <f t="shared" si="435"/>
        <v>16.399999999999636</v>
      </c>
      <c r="AH784" s="99">
        <v>672.5</v>
      </c>
      <c r="AI784" s="100">
        <f t="shared" si="436"/>
        <v>2780249.5</v>
      </c>
      <c r="AJ784" s="100">
        <f t="shared" si="470"/>
        <v>0</v>
      </c>
      <c r="AK784" s="100">
        <v>0</v>
      </c>
      <c r="AL784" s="100">
        <v>24290</v>
      </c>
      <c r="AM784" s="100">
        <v>0</v>
      </c>
      <c r="AN784" s="100">
        <v>0</v>
      </c>
      <c r="AO784" s="100">
        <v>0</v>
      </c>
      <c r="AP784" s="100">
        <f t="shared" si="469"/>
        <v>140227</v>
      </c>
      <c r="AQ784" s="101">
        <f t="shared" si="459"/>
        <v>2944767</v>
      </c>
      <c r="AR784" s="101">
        <v>0</v>
      </c>
      <c r="AS784" s="101">
        <v>0</v>
      </c>
      <c r="AT784" s="102" t="s">
        <v>33</v>
      </c>
      <c r="AU784" s="109">
        <v>21</v>
      </c>
      <c r="AV784" s="100">
        <f>48.41-26.41</f>
        <v>21.999999999999996</v>
      </c>
      <c r="AW784" s="262">
        <v>0</v>
      </c>
      <c r="AX784" s="216">
        <f t="shared" si="462"/>
        <v>0.39669101639977838</v>
      </c>
      <c r="AY784" s="217">
        <f t="shared" si="463"/>
        <v>11029</v>
      </c>
      <c r="AZ784" s="107"/>
      <c r="BA784" s="94">
        <v>45607.645833333336</v>
      </c>
      <c r="BB784" s="94">
        <v>45607.649305555555</v>
      </c>
      <c r="BC784" s="94">
        <v>45607.649305555555</v>
      </c>
      <c r="BD784" s="94">
        <v>45607.809027777781</v>
      </c>
      <c r="BE784" s="95">
        <f t="shared" si="464"/>
        <v>0.16319444444525288</v>
      </c>
      <c r="BF784" s="95">
        <v>3.7499999999999999E-2</v>
      </c>
      <c r="BG784" s="95">
        <v>1.3888888888888889E-3</v>
      </c>
      <c r="BH784" s="95">
        <f t="shared" si="465"/>
        <v>3.4722222189884633E-3</v>
      </c>
      <c r="BI784" s="95">
        <f t="shared" si="465"/>
        <v>0</v>
      </c>
      <c r="BJ784" s="95">
        <f t="shared" si="465"/>
        <v>0.15972222222626442</v>
      </c>
      <c r="BK784" s="95">
        <f t="shared" si="466"/>
        <v>0.15972222222626442</v>
      </c>
      <c r="BL784" s="95">
        <f t="shared" si="467"/>
        <v>0.12083333333737553</v>
      </c>
      <c r="BM784" s="95" t="str">
        <f t="shared" si="468"/>
        <v>00:00</v>
      </c>
      <c r="BN784" s="110"/>
    </row>
    <row r="785" spans="1:66" s="8" customFormat="1" ht="12.75" customHeight="1" x14ac:dyDescent="0.25">
      <c r="A785" s="150">
        <v>716</v>
      </c>
      <c r="B785" s="150">
        <v>25</v>
      </c>
      <c r="C785" s="90">
        <v>15</v>
      </c>
      <c r="D785" s="111" t="s">
        <v>148</v>
      </c>
      <c r="E785" s="210" t="s">
        <v>935</v>
      </c>
      <c r="F785" s="150" t="s">
        <v>19</v>
      </c>
      <c r="G785" s="150" t="s">
        <v>17</v>
      </c>
      <c r="H785" s="150" t="s">
        <v>150</v>
      </c>
      <c r="I785" s="150" t="s">
        <v>246</v>
      </c>
      <c r="J785" s="151">
        <v>45607</v>
      </c>
      <c r="K785" s="135" t="s">
        <v>117</v>
      </c>
      <c r="L785" s="135">
        <v>461000542</v>
      </c>
      <c r="M785" s="151">
        <v>45608</v>
      </c>
      <c r="N785" s="152">
        <v>45607.892361111109</v>
      </c>
      <c r="O785" s="152">
        <v>45607.892361111109</v>
      </c>
      <c r="P785" s="152">
        <v>45607.899305555555</v>
      </c>
      <c r="Q785" s="152">
        <v>45608.083333333336</v>
      </c>
      <c r="R785" s="152">
        <v>45607.892361111109</v>
      </c>
      <c r="S785" s="152" t="s">
        <v>118</v>
      </c>
      <c r="T785" s="152">
        <v>45608.104166666664</v>
      </c>
      <c r="U785" s="152">
        <v>45608.243055555555</v>
      </c>
      <c r="V785" s="219">
        <f t="shared" si="460"/>
        <v>0.19097222222626442</v>
      </c>
      <c r="W785" s="203">
        <v>0.20833333333333334</v>
      </c>
      <c r="X785" s="219" t="str">
        <f t="shared" si="461"/>
        <v>00:00</v>
      </c>
      <c r="Y785" s="96">
        <v>9</v>
      </c>
      <c r="Z785" s="96">
        <v>48</v>
      </c>
      <c r="AA785" s="96">
        <f t="shared" si="432"/>
        <v>57</v>
      </c>
      <c r="AB785" s="97">
        <f t="shared" si="433"/>
        <v>627.72789473684213</v>
      </c>
      <c r="AC785" s="97">
        <f t="shared" si="434"/>
        <v>3347.8821052631583</v>
      </c>
      <c r="AD785" s="98">
        <v>3975.61</v>
      </c>
      <c r="AE785" s="98">
        <v>3957.6</v>
      </c>
      <c r="AF785" s="98">
        <v>3991.4</v>
      </c>
      <c r="AG785" s="98">
        <f t="shared" si="435"/>
        <v>15.789999999999964</v>
      </c>
      <c r="AH785" s="99">
        <v>672.5</v>
      </c>
      <c r="AI785" s="100">
        <f t="shared" si="436"/>
        <v>2684216.5</v>
      </c>
      <c r="AJ785" s="100">
        <f t="shared" si="470"/>
        <v>0</v>
      </c>
      <c r="AK785" s="100">
        <v>0</v>
      </c>
      <c r="AL785" s="100">
        <v>23990</v>
      </c>
      <c r="AM785" s="100">
        <v>0</v>
      </c>
      <c r="AN785" s="100">
        <v>0</v>
      </c>
      <c r="AO785" s="100">
        <v>0</v>
      </c>
      <c r="AP785" s="100">
        <f t="shared" si="469"/>
        <v>135411</v>
      </c>
      <c r="AQ785" s="101">
        <f t="shared" si="459"/>
        <v>2843618</v>
      </c>
      <c r="AR785" s="101">
        <v>0</v>
      </c>
      <c r="AS785" s="101">
        <v>0</v>
      </c>
      <c r="AT785" s="102" t="s">
        <v>33</v>
      </c>
      <c r="AU785" s="109">
        <v>22</v>
      </c>
      <c r="AV785" s="100">
        <f>48.86-27.86</f>
        <v>21</v>
      </c>
      <c r="AW785" s="262">
        <v>0</v>
      </c>
      <c r="AX785" s="216">
        <f t="shared" si="462"/>
        <v>0.39560054116350057</v>
      </c>
      <c r="AY785" s="217">
        <f t="shared" si="463"/>
        <v>10619</v>
      </c>
      <c r="AZ785" s="107"/>
      <c r="BA785" s="94">
        <v>45607.892361111109</v>
      </c>
      <c r="BB785" s="94">
        <v>45607.899305555555</v>
      </c>
      <c r="BC785" s="94">
        <v>45607.899305555555</v>
      </c>
      <c r="BD785" s="94">
        <v>45608.036805555559</v>
      </c>
      <c r="BE785" s="95">
        <f t="shared" si="464"/>
        <v>0.14444444444961846</v>
      </c>
      <c r="BF785" s="95">
        <v>1.5972222222222221E-2</v>
      </c>
      <c r="BG785" s="95">
        <v>3.472222222222222E-3</v>
      </c>
      <c r="BH785" s="95">
        <f t="shared" si="465"/>
        <v>6.9444444452528842E-3</v>
      </c>
      <c r="BI785" s="95">
        <f t="shared" si="465"/>
        <v>0</v>
      </c>
      <c r="BJ785" s="95">
        <f t="shared" si="465"/>
        <v>0.13750000000436557</v>
      </c>
      <c r="BK785" s="95">
        <f t="shared" si="466"/>
        <v>0.13750000000436557</v>
      </c>
      <c r="BL785" s="95">
        <f t="shared" si="467"/>
        <v>0.11805555555992113</v>
      </c>
      <c r="BM785" s="95" t="str">
        <f t="shared" si="468"/>
        <v>00:00</v>
      </c>
      <c r="BN785" s="110"/>
    </row>
    <row r="786" spans="1:66" s="8" customFormat="1" ht="12.75" customHeight="1" x14ac:dyDescent="0.25">
      <c r="A786" s="150">
        <v>717</v>
      </c>
      <c r="B786" s="150">
        <v>26</v>
      </c>
      <c r="C786" s="90">
        <v>16</v>
      </c>
      <c r="D786" s="111" t="s">
        <v>148</v>
      </c>
      <c r="E786" s="210" t="s">
        <v>935</v>
      </c>
      <c r="F786" s="150" t="s">
        <v>19</v>
      </c>
      <c r="G786" s="150" t="s">
        <v>17</v>
      </c>
      <c r="H786" s="150" t="s">
        <v>150</v>
      </c>
      <c r="I786" s="150" t="s">
        <v>248</v>
      </c>
      <c r="J786" s="151">
        <v>45607</v>
      </c>
      <c r="K786" s="135" t="s">
        <v>122</v>
      </c>
      <c r="L786" s="135">
        <v>461000543</v>
      </c>
      <c r="M786" s="151">
        <v>45608</v>
      </c>
      <c r="N786" s="152">
        <v>45608.052083333336</v>
      </c>
      <c r="O786" s="152">
        <v>45608.052083333336</v>
      </c>
      <c r="P786" s="152">
        <v>45608.055555555555</v>
      </c>
      <c r="Q786" s="152">
        <v>45608.260416666664</v>
      </c>
      <c r="R786" s="152" t="s">
        <v>118</v>
      </c>
      <c r="S786" s="152" t="s">
        <v>118</v>
      </c>
      <c r="T786" s="152">
        <v>45608.354166666664</v>
      </c>
      <c r="U786" s="152">
        <v>45608.420138888891</v>
      </c>
      <c r="V786" s="219">
        <f t="shared" si="460"/>
        <v>0.20833333332848269</v>
      </c>
      <c r="W786" s="203">
        <v>0.20833333333333334</v>
      </c>
      <c r="X786" s="219" t="str">
        <f t="shared" si="461"/>
        <v>00:00</v>
      </c>
      <c r="Y786" s="96">
        <v>0</v>
      </c>
      <c r="Z786" s="96">
        <v>59</v>
      </c>
      <c r="AA786" s="96">
        <f t="shared" si="432"/>
        <v>59</v>
      </c>
      <c r="AB786" s="97">
        <f t="shared" si="433"/>
        <v>0</v>
      </c>
      <c r="AC786" s="97">
        <f t="shared" si="434"/>
        <v>4072.0599999999995</v>
      </c>
      <c r="AD786" s="98">
        <v>4072.06</v>
      </c>
      <c r="AE786" s="98">
        <v>4101.2</v>
      </c>
      <c r="AF786" s="98">
        <v>4113.8</v>
      </c>
      <c r="AG786" s="98">
        <f t="shared" si="435"/>
        <v>41.740000000000236</v>
      </c>
      <c r="AH786" s="99">
        <v>672.5</v>
      </c>
      <c r="AI786" s="100">
        <f t="shared" si="436"/>
        <v>2766530.5</v>
      </c>
      <c r="AJ786" s="100">
        <f t="shared" si="470"/>
        <v>0</v>
      </c>
      <c r="AK786" s="100">
        <v>0</v>
      </c>
      <c r="AL786" s="100">
        <v>24290</v>
      </c>
      <c r="AM786" s="100">
        <v>0</v>
      </c>
      <c r="AN786" s="100">
        <v>0</v>
      </c>
      <c r="AO786" s="100">
        <v>0</v>
      </c>
      <c r="AP786" s="100">
        <f t="shared" si="469"/>
        <v>139542</v>
      </c>
      <c r="AQ786" s="101">
        <f t="shared" si="459"/>
        <v>2930363</v>
      </c>
      <c r="AR786" s="101">
        <v>0</v>
      </c>
      <c r="AS786" s="101">
        <v>0</v>
      </c>
      <c r="AT786" s="102" t="s">
        <v>33</v>
      </c>
      <c r="AU786" s="109">
        <v>8</v>
      </c>
      <c r="AV786" s="100">
        <v>10.5</v>
      </c>
      <c r="AW786" s="262">
        <v>0</v>
      </c>
      <c r="AX786" s="216">
        <f t="shared" si="462"/>
        <v>1.0146336720307316</v>
      </c>
      <c r="AY786" s="217">
        <f t="shared" si="463"/>
        <v>28071</v>
      </c>
      <c r="AZ786" s="107"/>
      <c r="BA786" s="94">
        <v>45608.052083333336</v>
      </c>
      <c r="BB786" s="94">
        <v>45608.055555555555</v>
      </c>
      <c r="BC786" s="94">
        <v>45608.083333333336</v>
      </c>
      <c r="BD786" s="94">
        <v>45608.26666666667</v>
      </c>
      <c r="BE786" s="95">
        <f t="shared" si="464"/>
        <v>0.21458333333430346</v>
      </c>
      <c r="BF786" s="95">
        <v>2.7777777777777776E-2</v>
      </c>
      <c r="BG786" s="95">
        <v>3.8194444444444448E-2</v>
      </c>
      <c r="BH786" s="95">
        <f t="shared" si="465"/>
        <v>3.4722222189884633E-3</v>
      </c>
      <c r="BI786" s="95">
        <f t="shared" si="465"/>
        <v>2.7777777781011537E-2</v>
      </c>
      <c r="BJ786" s="95">
        <f t="shared" si="465"/>
        <v>0.18333333333430346</v>
      </c>
      <c r="BK786" s="95">
        <f t="shared" si="466"/>
        <v>0.211111111115315</v>
      </c>
      <c r="BL786" s="95">
        <f t="shared" si="467"/>
        <v>0.14513888889309276</v>
      </c>
      <c r="BM786" s="95">
        <f t="shared" si="468"/>
        <v>6.2500000009701184E-3</v>
      </c>
      <c r="BN786" s="110"/>
    </row>
    <row r="787" spans="1:66" s="8" customFormat="1" ht="12.75" customHeight="1" x14ac:dyDescent="0.25">
      <c r="A787" s="150">
        <v>718</v>
      </c>
      <c r="B787" s="150">
        <v>27</v>
      </c>
      <c r="C787" s="90">
        <v>24</v>
      </c>
      <c r="D787" s="111" t="s">
        <v>113</v>
      </c>
      <c r="E787" s="210" t="s">
        <v>863</v>
      </c>
      <c r="F787" s="150" t="s">
        <v>32</v>
      </c>
      <c r="G787" s="150" t="s">
        <v>8</v>
      </c>
      <c r="H787" s="150" t="s">
        <v>779</v>
      </c>
      <c r="I787" s="150" t="s">
        <v>947</v>
      </c>
      <c r="J787" s="151">
        <v>45608</v>
      </c>
      <c r="K787" s="135" t="s">
        <v>122</v>
      </c>
      <c r="L787" s="135">
        <v>281000258</v>
      </c>
      <c r="M787" s="151">
        <v>45609</v>
      </c>
      <c r="N787" s="152">
        <v>45608.666666666664</v>
      </c>
      <c r="O787" s="152">
        <v>45608.666666666664</v>
      </c>
      <c r="P787" s="152">
        <v>45608.677083333336</v>
      </c>
      <c r="Q787" s="152">
        <v>45608.8125</v>
      </c>
      <c r="R787" s="152" t="s">
        <v>118</v>
      </c>
      <c r="S787" s="152" t="s">
        <v>118</v>
      </c>
      <c r="T787" s="152">
        <v>45608.833333333336</v>
      </c>
      <c r="U787" s="152">
        <v>45608.977777777778</v>
      </c>
      <c r="V787" s="219">
        <f t="shared" si="460"/>
        <v>0.14583333333575865</v>
      </c>
      <c r="W787" s="203">
        <v>0.20833333333333334</v>
      </c>
      <c r="X787" s="219" t="str">
        <f t="shared" si="461"/>
        <v>00:00</v>
      </c>
      <c r="Y787" s="96">
        <v>1</v>
      </c>
      <c r="Z787" s="96">
        <v>57</v>
      </c>
      <c r="AA787" s="96">
        <f t="shared" si="432"/>
        <v>58</v>
      </c>
      <c r="AB787" s="97">
        <f t="shared" si="433"/>
        <v>66.181379310344823</v>
      </c>
      <c r="AC787" s="97">
        <f t="shared" si="434"/>
        <v>3772.3386206896548</v>
      </c>
      <c r="AD787" s="98">
        <v>3838.52</v>
      </c>
      <c r="AE787" s="98">
        <v>4008.7</v>
      </c>
      <c r="AF787" s="98">
        <v>4009.2</v>
      </c>
      <c r="AG787" s="98">
        <f t="shared" si="435"/>
        <v>170.67999999999984</v>
      </c>
      <c r="AH787" s="99">
        <v>1435.6</v>
      </c>
      <c r="AI787" s="100">
        <f t="shared" si="436"/>
        <v>5755607.5199999996</v>
      </c>
      <c r="AJ787" s="100">
        <f t="shared" si="470"/>
        <v>0</v>
      </c>
      <c r="AK787" s="100">
        <v>0</v>
      </c>
      <c r="AL787" s="100">
        <v>0</v>
      </c>
      <c r="AM787" s="100">
        <v>0</v>
      </c>
      <c r="AN787" s="100">
        <v>0</v>
      </c>
      <c r="AO787" s="100">
        <v>0</v>
      </c>
      <c r="AP787" s="100">
        <f t="shared" si="469"/>
        <v>287781</v>
      </c>
      <c r="AQ787" s="101">
        <f t="shared" si="459"/>
        <v>6043389</v>
      </c>
      <c r="AR787" s="101">
        <v>0</v>
      </c>
      <c r="AS787" s="101">
        <v>0</v>
      </c>
      <c r="AT787" s="102" t="s">
        <v>33</v>
      </c>
      <c r="AU787" s="109" t="s">
        <v>118</v>
      </c>
      <c r="AV787" s="100">
        <v>0</v>
      </c>
      <c r="AW787" s="262">
        <v>0</v>
      </c>
      <c r="AX787" s="216">
        <f t="shared" si="462"/>
        <v>4.2572084206325407</v>
      </c>
      <c r="AY787" s="217">
        <f t="shared" si="463"/>
        <v>245029</v>
      </c>
      <c r="AZ787" s="107"/>
      <c r="BA787" s="94">
        <v>45608.666666666664</v>
      </c>
      <c r="BB787" s="94">
        <v>45608.677083333336</v>
      </c>
      <c r="BC787" s="94">
        <v>45608.677083333336</v>
      </c>
      <c r="BD787" s="94">
        <v>45608.798611111109</v>
      </c>
      <c r="BE787" s="95">
        <f t="shared" si="464"/>
        <v>0.13194444444525288</v>
      </c>
      <c r="BF787" s="95">
        <v>0</v>
      </c>
      <c r="BG787" s="95">
        <v>0</v>
      </c>
      <c r="BH787" s="95">
        <f t="shared" si="465"/>
        <v>1.0416666671517305E-2</v>
      </c>
      <c r="BI787" s="95">
        <f t="shared" si="465"/>
        <v>0</v>
      </c>
      <c r="BJ787" s="95">
        <f t="shared" si="465"/>
        <v>0.12152777777373558</v>
      </c>
      <c r="BK787" s="95">
        <f t="shared" si="466"/>
        <v>0.12152777777373558</v>
      </c>
      <c r="BL787" s="95">
        <f t="shared" si="467"/>
        <v>0.12152777777373558</v>
      </c>
      <c r="BM787" s="95" t="str">
        <f t="shared" si="468"/>
        <v>00:00</v>
      </c>
      <c r="BN787" s="110"/>
    </row>
    <row r="788" spans="1:66" s="8" customFormat="1" ht="12.75" customHeight="1" x14ac:dyDescent="0.25">
      <c r="A788" s="150">
        <v>719</v>
      </c>
      <c r="B788" s="150">
        <v>28</v>
      </c>
      <c r="C788" s="90">
        <v>17</v>
      </c>
      <c r="D788" s="111" t="s">
        <v>148</v>
      </c>
      <c r="E788" s="210" t="s">
        <v>935</v>
      </c>
      <c r="F788" s="150" t="s">
        <v>19</v>
      </c>
      <c r="G788" s="150" t="s">
        <v>17</v>
      </c>
      <c r="H788" s="150" t="s">
        <v>150</v>
      </c>
      <c r="I788" s="150" t="s">
        <v>250</v>
      </c>
      <c r="J788" s="151">
        <v>45608</v>
      </c>
      <c r="K788" s="135" t="s">
        <v>117</v>
      </c>
      <c r="L788" s="135">
        <v>461000544</v>
      </c>
      <c r="M788" s="151">
        <v>45609</v>
      </c>
      <c r="N788" s="152">
        <v>45608.8125</v>
      </c>
      <c r="O788" s="152">
        <v>45608.8125</v>
      </c>
      <c r="P788" s="152">
        <v>45608.815972222219</v>
      </c>
      <c r="Q788" s="152">
        <v>45608.989583333336</v>
      </c>
      <c r="R788" s="152" t="s">
        <v>118</v>
      </c>
      <c r="S788" s="152" t="s">
        <v>118</v>
      </c>
      <c r="T788" s="152">
        <v>45609.0625</v>
      </c>
      <c r="U788" s="152">
        <v>45609.222222222219</v>
      </c>
      <c r="V788" s="219">
        <f t="shared" si="460"/>
        <v>0.17708333333575865</v>
      </c>
      <c r="W788" s="203">
        <v>0.20833333333333334</v>
      </c>
      <c r="X788" s="219" t="str">
        <f t="shared" si="461"/>
        <v>00:00</v>
      </c>
      <c r="Y788" s="96">
        <v>16</v>
      </c>
      <c r="Z788" s="96">
        <v>43</v>
      </c>
      <c r="AA788" s="96">
        <f t="shared" si="432"/>
        <v>59</v>
      </c>
      <c r="AB788" s="97">
        <f t="shared" si="433"/>
        <v>1123.3545762711865</v>
      </c>
      <c r="AC788" s="97">
        <f t="shared" si="434"/>
        <v>3019.0154237288139</v>
      </c>
      <c r="AD788" s="98">
        <v>4142.37</v>
      </c>
      <c r="AE788" s="98">
        <v>4128</v>
      </c>
      <c r="AF788" s="98">
        <v>4155.3999999999996</v>
      </c>
      <c r="AG788" s="98">
        <f t="shared" si="435"/>
        <v>13.029999999999745</v>
      </c>
      <c r="AH788" s="99">
        <v>672.5</v>
      </c>
      <c r="AI788" s="100">
        <f t="shared" si="436"/>
        <v>2794506.4999999995</v>
      </c>
      <c r="AJ788" s="100">
        <f t="shared" si="470"/>
        <v>0</v>
      </c>
      <c r="AK788" s="100">
        <v>0</v>
      </c>
      <c r="AL788" s="100">
        <v>24290</v>
      </c>
      <c r="AM788" s="100">
        <v>0</v>
      </c>
      <c r="AN788" s="100">
        <v>0</v>
      </c>
      <c r="AO788" s="100">
        <v>0</v>
      </c>
      <c r="AP788" s="100">
        <f t="shared" si="469"/>
        <v>140940</v>
      </c>
      <c r="AQ788" s="101">
        <f t="shared" si="459"/>
        <v>2959737</v>
      </c>
      <c r="AR788" s="101">
        <v>0</v>
      </c>
      <c r="AS788" s="101">
        <v>0</v>
      </c>
      <c r="AT788" s="102" t="s">
        <v>33</v>
      </c>
      <c r="AU788" s="109">
        <v>7</v>
      </c>
      <c r="AV788" s="100">
        <f>30.67-25.17</f>
        <v>5.5</v>
      </c>
      <c r="AW788" s="262">
        <v>0</v>
      </c>
      <c r="AX788" s="216">
        <f t="shared" si="462"/>
        <v>0.31356788756797771</v>
      </c>
      <c r="AY788" s="217">
        <f t="shared" si="463"/>
        <v>8763</v>
      </c>
      <c r="AZ788" s="107"/>
      <c r="BA788" s="94">
        <v>45608.8125</v>
      </c>
      <c r="BB788" s="94">
        <v>45608.815972222219</v>
      </c>
      <c r="BC788" s="94">
        <v>45608.840277777781</v>
      </c>
      <c r="BD788" s="94">
        <v>45609.010416666664</v>
      </c>
      <c r="BE788" s="95">
        <f t="shared" si="464"/>
        <v>0.19791666666424135</v>
      </c>
      <c r="BF788" s="95">
        <v>0</v>
      </c>
      <c r="BG788" s="95">
        <v>6.8750000000000006E-2</v>
      </c>
      <c r="BH788" s="95">
        <f t="shared" si="465"/>
        <v>3.4722222189884633E-3</v>
      </c>
      <c r="BI788" s="95">
        <f t="shared" si="465"/>
        <v>2.4305555562023073E-2</v>
      </c>
      <c r="BJ788" s="95">
        <f t="shared" si="465"/>
        <v>0.17013888888322981</v>
      </c>
      <c r="BK788" s="95">
        <f t="shared" si="466"/>
        <v>0.19444444444525288</v>
      </c>
      <c r="BL788" s="95">
        <f t="shared" si="467"/>
        <v>0.12569444444525288</v>
      </c>
      <c r="BM788" s="95" t="str">
        <f t="shared" si="468"/>
        <v>00:00</v>
      </c>
      <c r="BN788" s="110"/>
    </row>
    <row r="789" spans="1:66" s="8" customFormat="1" ht="12.75" customHeight="1" x14ac:dyDescent="0.25">
      <c r="A789" s="150">
        <v>720</v>
      </c>
      <c r="B789" s="150">
        <v>29</v>
      </c>
      <c r="C789" s="90">
        <v>18</v>
      </c>
      <c r="D789" s="111" t="s">
        <v>148</v>
      </c>
      <c r="E789" s="210" t="s">
        <v>935</v>
      </c>
      <c r="F789" s="150" t="s">
        <v>19</v>
      </c>
      <c r="G789" s="150" t="s">
        <v>17</v>
      </c>
      <c r="H789" s="150" t="s">
        <v>150</v>
      </c>
      <c r="I789" s="150" t="s">
        <v>252</v>
      </c>
      <c r="J789" s="151">
        <v>45608</v>
      </c>
      <c r="K789" s="135" t="s">
        <v>122</v>
      </c>
      <c r="L789" s="135">
        <v>461000545</v>
      </c>
      <c r="M789" s="151">
        <v>45609</v>
      </c>
      <c r="N789" s="152">
        <v>45609.1875</v>
      </c>
      <c r="O789" s="152">
        <v>45609.1875</v>
      </c>
      <c r="P789" s="152">
        <v>45609.194444444445</v>
      </c>
      <c r="Q789" s="152">
        <v>45609.375</v>
      </c>
      <c r="R789" s="152" t="s">
        <v>118</v>
      </c>
      <c r="S789" s="152" t="s">
        <v>118</v>
      </c>
      <c r="T789" s="152">
        <v>45609.4375</v>
      </c>
      <c r="U789" s="152">
        <v>45609.635416666664</v>
      </c>
      <c r="V789" s="219">
        <f t="shared" si="460"/>
        <v>0.1875</v>
      </c>
      <c r="W789" s="203">
        <v>0.20833333333333334</v>
      </c>
      <c r="X789" s="219" t="str">
        <f t="shared" si="461"/>
        <v>00:00</v>
      </c>
      <c r="Y789" s="96">
        <v>9</v>
      </c>
      <c r="Z789" s="96">
        <v>49</v>
      </c>
      <c r="AA789" s="96">
        <f t="shared" si="432"/>
        <v>58</v>
      </c>
      <c r="AB789" s="97">
        <f t="shared" si="433"/>
        <v>629.68965517241384</v>
      </c>
      <c r="AC789" s="97">
        <f t="shared" si="434"/>
        <v>3428.3103448275865</v>
      </c>
      <c r="AD789" s="98">
        <v>4058</v>
      </c>
      <c r="AE789" s="98">
        <v>4060</v>
      </c>
      <c r="AF789" s="98">
        <v>4084</v>
      </c>
      <c r="AG789" s="98">
        <f t="shared" si="435"/>
        <v>26</v>
      </c>
      <c r="AH789" s="99">
        <v>672.5</v>
      </c>
      <c r="AI789" s="100">
        <f t="shared" si="436"/>
        <v>2746490</v>
      </c>
      <c r="AJ789" s="100">
        <f t="shared" si="470"/>
        <v>0</v>
      </c>
      <c r="AK789" s="100">
        <v>0</v>
      </c>
      <c r="AL789" s="100">
        <v>24140</v>
      </c>
      <c r="AM789" s="100">
        <v>0</v>
      </c>
      <c r="AN789" s="100">
        <v>0</v>
      </c>
      <c r="AO789" s="100">
        <v>0</v>
      </c>
      <c r="AP789" s="100">
        <f t="shared" si="469"/>
        <v>138532</v>
      </c>
      <c r="AQ789" s="101">
        <f t="shared" si="459"/>
        <v>2909162</v>
      </c>
      <c r="AR789" s="101">
        <v>0</v>
      </c>
      <c r="AS789" s="101">
        <v>0</v>
      </c>
      <c r="AT789" s="102" t="s">
        <v>33</v>
      </c>
      <c r="AU789" s="109">
        <v>13</v>
      </c>
      <c r="AV789" s="100">
        <f>29.8-20.8</f>
        <v>9</v>
      </c>
      <c r="AW789" s="262">
        <v>0</v>
      </c>
      <c r="AX789" s="216">
        <f t="shared" si="462"/>
        <v>0.63663075416258574</v>
      </c>
      <c r="AY789" s="217">
        <f t="shared" si="463"/>
        <v>17485</v>
      </c>
      <c r="AZ789" s="107"/>
      <c r="BA789" s="94">
        <v>45609.1875</v>
      </c>
      <c r="BB789" s="94">
        <v>45609.194444444445</v>
      </c>
      <c r="BC789" s="94">
        <v>45609.197916666664</v>
      </c>
      <c r="BD789" s="94">
        <v>45609.363194444442</v>
      </c>
      <c r="BE789" s="95">
        <f t="shared" si="464"/>
        <v>0.1756944444423425</v>
      </c>
      <c r="BF789" s="95">
        <v>3.472222222222222E-3</v>
      </c>
      <c r="BG789" s="95">
        <v>4.027777777777778E-2</v>
      </c>
      <c r="BH789" s="95">
        <f t="shared" si="465"/>
        <v>6.9444444452528842E-3</v>
      </c>
      <c r="BI789" s="95">
        <f t="shared" si="465"/>
        <v>3.4722222189884633E-3</v>
      </c>
      <c r="BJ789" s="95">
        <f t="shared" si="465"/>
        <v>0.16527777777810115</v>
      </c>
      <c r="BK789" s="95">
        <f t="shared" si="466"/>
        <v>0.16874999999708962</v>
      </c>
      <c r="BL789" s="95">
        <f t="shared" si="467"/>
        <v>0.12499999999708963</v>
      </c>
      <c r="BM789" s="95" t="str">
        <f t="shared" si="468"/>
        <v>00:00</v>
      </c>
      <c r="BN789" s="110"/>
    </row>
    <row r="790" spans="1:66" s="8" customFormat="1" ht="12.75" customHeight="1" x14ac:dyDescent="0.25">
      <c r="A790" s="150">
        <v>721</v>
      </c>
      <c r="B790" s="150">
        <v>30</v>
      </c>
      <c r="C790" s="90">
        <v>1</v>
      </c>
      <c r="D790" s="111" t="s">
        <v>113</v>
      </c>
      <c r="E790" s="210" t="s">
        <v>948</v>
      </c>
      <c r="F790" s="150" t="s">
        <v>14</v>
      </c>
      <c r="G790" s="150" t="s">
        <v>15</v>
      </c>
      <c r="H790" s="150" t="s">
        <v>779</v>
      </c>
      <c r="I790" s="150" t="s">
        <v>383</v>
      </c>
      <c r="J790" s="151">
        <v>45609</v>
      </c>
      <c r="K790" s="135" t="s">
        <v>117</v>
      </c>
      <c r="L790" s="135">
        <v>281000259</v>
      </c>
      <c r="M790" s="151">
        <v>45610</v>
      </c>
      <c r="N790" s="152">
        <v>45609.506944444445</v>
      </c>
      <c r="O790" s="152">
        <v>45609.506944444445</v>
      </c>
      <c r="P790" s="152">
        <v>45609.513888888891</v>
      </c>
      <c r="Q790" s="152">
        <v>45609.715277777781</v>
      </c>
      <c r="R790" s="152" t="s">
        <v>118</v>
      </c>
      <c r="S790" s="152" t="s">
        <v>118</v>
      </c>
      <c r="T790" s="152">
        <v>45609.791666666664</v>
      </c>
      <c r="U790" s="152">
        <v>45609.885416666664</v>
      </c>
      <c r="V790" s="219">
        <f t="shared" si="460"/>
        <v>0.20833333333575865</v>
      </c>
      <c r="W790" s="203">
        <v>0.20833333333333334</v>
      </c>
      <c r="X790" s="219">
        <f t="shared" si="461"/>
        <v>2.4253099528692701E-12</v>
      </c>
      <c r="Y790" s="96">
        <v>1</v>
      </c>
      <c r="Z790" s="96">
        <v>58</v>
      </c>
      <c r="AA790" s="96">
        <f t="shared" si="432"/>
        <v>59</v>
      </c>
      <c r="AB790" s="97">
        <f t="shared" si="433"/>
        <v>67.822881355932211</v>
      </c>
      <c r="AC790" s="97">
        <f t="shared" si="434"/>
        <v>3933.727118644068</v>
      </c>
      <c r="AD790" s="98">
        <v>4001.55</v>
      </c>
      <c r="AE790" s="98">
        <v>4107.1000000000004</v>
      </c>
      <c r="AF790" s="98">
        <v>4109.3999999999996</v>
      </c>
      <c r="AG790" s="98">
        <f t="shared" si="435"/>
        <v>107.84999999999945</v>
      </c>
      <c r="AH790" s="99">
        <v>1435.6</v>
      </c>
      <c r="AI790" s="100">
        <f t="shared" si="436"/>
        <v>5899454.6399999987</v>
      </c>
      <c r="AJ790" s="100">
        <f t="shared" si="470"/>
        <v>0</v>
      </c>
      <c r="AK790" s="100">
        <v>0</v>
      </c>
      <c r="AL790" s="100">
        <v>24290</v>
      </c>
      <c r="AM790" s="100">
        <v>0</v>
      </c>
      <c r="AN790" s="100">
        <v>0</v>
      </c>
      <c r="AO790" s="100">
        <v>0</v>
      </c>
      <c r="AP790" s="100">
        <f t="shared" si="469"/>
        <v>296188</v>
      </c>
      <c r="AQ790" s="101">
        <f t="shared" si="459"/>
        <v>6219933</v>
      </c>
      <c r="AR790" s="101">
        <v>0</v>
      </c>
      <c r="AS790" s="101">
        <v>0</v>
      </c>
      <c r="AT790" s="102" t="s">
        <v>33</v>
      </c>
      <c r="AU790" s="109">
        <v>1</v>
      </c>
      <c r="AV790" s="100">
        <f>3-2</f>
        <v>1</v>
      </c>
      <c r="AW790" s="262">
        <v>0</v>
      </c>
      <c r="AX790" s="216">
        <f t="shared" si="462"/>
        <v>2.6244707256533668</v>
      </c>
      <c r="AY790" s="217">
        <f t="shared" si="463"/>
        <v>154830</v>
      </c>
      <c r="AZ790" s="107"/>
      <c r="BA790" s="94">
        <v>45609.506944444445</v>
      </c>
      <c r="BB790" s="94">
        <v>45609.513888888891</v>
      </c>
      <c r="BC790" s="94">
        <v>45609.517361111109</v>
      </c>
      <c r="BD790" s="94">
        <v>45609.75277777778</v>
      </c>
      <c r="BE790" s="95">
        <f t="shared" si="464"/>
        <v>0.24583333333430346</v>
      </c>
      <c r="BF790" s="95">
        <v>2.7777777777777779E-3</v>
      </c>
      <c r="BG790" s="95">
        <v>8.4027777777777785E-2</v>
      </c>
      <c r="BH790" s="95">
        <f t="shared" si="465"/>
        <v>6.9444444452528842E-3</v>
      </c>
      <c r="BI790" s="95">
        <f t="shared" si="465"/>
        <v>3.4722222189884633E-3</v>
      </c>
      <c r="BJ790" s="95">
        <f t="shared" si="465"/>
        <v>0.23541666667006211</v>
      </c>
      <c r="BK790" s="95">
        <f t="shared" si="466"/>
        <v>0.23888888888905058</v>
      </c>
      <c r="BL790" s="95">
        <f t="shared" si="467"/>
        <v>0.15208333333349502</v>
      </c>
      <c r="BM790" s="95">
        <f t="shared" si="468"/>
        <v>3.7500000000970118E-2</v>
      </c>
      <c r="BN790" s="110"/>
    </row>
    <row r="791" spans="1:66" s="8" customFormat="1" ht="12.75" customHeight="1" x14ac:dyDescent="0.25">
      <c r="A791" s="115">
        <v>722</v>
      </c>
      <c r="B791" s="115">
        <v>31</v>
      </c>
      <c r="C791" s="90">
        <v>14</v>
      </c>
      <c r="D791" s="115" t="s">
        <v>148</v>
      </c>
      <c r="E791" s="210" t="s">
        <v>929</v>
      </c>
      <c r="F791" s="115" t="s">
        <v>16</v>
      </c>
      <c r="G791" s="115" t="s">
        <v>17</v>
      </c>
      <c r="H791" s="115" t="s">
        <v>150</v>
      </c>
      <c r="I791" s="115" t="s">
        <v>253</v>
      </c>
      <c r="J791" s="117">
        <v>45609</v>
      </c>
      <c r="K791" s="116" t="s">
        <v>122</v>
      </c>
      <c r="L791" s="116">
        <v>461000546</v>
      </c>
      <c r="M791" s="117">
        <v>45610</v>
      </c>
      <c r="N791" s="118">
        <v>45609.715277777781</v>
      </c>
      <c r="O791" s="118">
        <v>45609.715277777781</v>
      </c>
      <c r="P791" s="118">
        <v>45609.71875</v>
      </c>
      <c r="Q791" s="118">
        <v>45609.916666666664</v>
      </c>
      <c r="R791" s="118" t="s">
        <v>118</v>
      </c>
      <c r="S791" s="118">
        <v>45610.001388888886</v>
      </c>
      <c r="T791" s="118">
        <v>45610.0625</v>
      </c>
      <c r="U791" s="118">
        <v>45610.194444444445</v>
      </c>
      <c r="V791" s="119">
        <f t="shared" si="460"/>
        <v>0.20138888888322981</v>
      </c>
      <c r="W791" s="185">
        <v>0.20833333333333334</v>
      </c>
      <c r="X791" s="119" t="str">
        <f t="shared" si="461"/>
        <v>00:00</v>
      </c>
      <c r="Y791" s="96">
        <v>1</v>
      </c>
      <c r="Z791" s="96">
        <v>43</v>
      </c>
      <c r="AA791" s="96">
        <f t="shared" si="432"/>
        <v>44</v>
      </c>
      <c r="AB791" s="97">
        <f t="shared" si="433"/>
        <v>69.192272727272723</v>
      </c>
      <c r="AC791" s="97">
        <f t="shared" si="434"/>
        <v>2975.2677272727269</v>
      </c>
      <c r="AD791" s="98">
        <f>4041.65-997.19</f>
        <v>3044.46</v>
      </c>
      <c r="AE791" s="98">
        <f>4032.5-968.8</f>
        <v>3063.7</v>
      </c>
      <c r="AF791" s="98">
        <f>4059.2-997.19</f>
        <v>3062.0099999999998</v>
      </c>
      <c r="AG791" s="98">
        <f t="shared" si="435"/>
        <v>17.549999999999727</v>
      </c>
      <c r="AH791" s="99">
        <v>672.5</v>
      </c>
      <c r="AI791" s="100">
        <f t="shared" si="436"/>
        <v>2059201.7249999999</v>
      </c>
      <c r="AJ791" s="100">
        <f t="shared" si="470"/>
        <v>0</v>
      </c>
      <c r="AK791" s="100">
        <v>0</v>
      </c>
      <c r="AL791" s="100">
        <v>24140</v>
      </c>
      <c r="AM791" s="100">
        <v>0</v>
      </c>
      <c r="AN791" s="100">
        <v>0</v>
      </c>
      <c r="AO791" s="100">
        <v>0</v>
      </c>
      <c r="AP791" s="100">
        <f>ROUNDUP(SUM(AI791:AO791)*5%,0)-1</f>
        <v>104167</v>
      </c>
      <c r="AQ791" s="101">
        <f>ROUNDUP(SUM(AI791:AP791),0)-1</f>
        <v>2187508</v>
      </c>
      <c r="AR791" s="101">
        <v>0</v>
      </c>
      <c r="AS791" s="101">
        <v>0</v>
      </c>
      <c r="AT791" s="137" t="s">
        <v>33</v>
      </c>
      <c r="AU791" s="120">
        <v>12</v>
      </c>
      <c r="AV791" s="264">
        <f>36.27-24.27</f>
        <v>12.000000000000004</v>
      </c>
      <c r="AW791" s="265">
        <v>2</v>
      </c>
      <c r="AX791" s="140">
        <f>IFERROR(((AG791+AG792)/(AF791+AF792))*100, "")</f>
        <v>0.43235120220732476</v>
      </c>
      <c r="AY791" s="141">
        <f>ROUNDUP((AG791+AG792)*AH791,0)</f>
        <v>11803</v>
      </c>
      <c r="AZ791" s="107"/>
      <c r="BA791" s="94">
        <v>45609.715277777781</v>
      </c>
      <c r="BB791" s="94">
        <v>45609.71875</v>
      </c>
      <c r="BC791" s="94">
        <v>45609.777777777781</v>
      </c>
      <c r="BD791" s="94">
        <v>45609.986111111109</v>
      </c>
      <c r="BE791" s="95">
        <f t="shared" si="464"/>
        <v>0.27083333332848269</v>
      </c>
      <c r="BF791" s="95">
        <v>3.7499999999999999E-2</v>
      </c>
      <c r="BG791" s="95">
        <v>8.819444444444445E-2</v>
      </c>
      <c r="BH791" s="95">
        <f t="shared" si="465"/>
        <v>3.4722222189884633E-3</v>
      </c>
      <c r="BI791" s="95">
        <f t="shared" si="465"/>
        <v>5.9027777781011537E-2</v>
      </c>
      <c r="BJ791" s="95">
        <f t="shared" si="465"/>
        <v>0.20833333332848269</v>
      </c>
      <c r="BK791" s="95">
        <f t="shared" si="466"/>
        <v>0.26736111110949423</v>
      </c>
      <c r="BL791" s="95">
        <f t="shared" si="467"/>
        <v>0.14166666666504979</v>
      </c>
      <c r="BM791" s="95">
        <f t="shared" si="468"/>
        <v>6.2499999995149352E-2</v>
      </c>
      <c r="BN791" s="110" t="s">
        <v>949</v>
      </c>
    </row>
    <row r="792" spans="1:66" s="8" customFormat="1" ht="12.75" customHeight="1" x14ac:dyDescent="0.25">
      <c r="A792" s="122"/>
      <c r="B792" s="122"/>
      <c r="C792" s="90">
        <v>1</v>
      </c>
      <c r="D792" s="122"/>
      <c r="E792" s="210" t="s">
        <v>950</v>
      </c>
      <c r="F792" s="122"/>
      <c r="G792" s="122"/>
      <c r="H792" s="122"/>
      <c r="I792" s="122"/>
      <c r="J792" s="124"/>
      <c r="K792" s="123"/>
      <c r="L792" s="123"/>
      <c r="M792" s="124"/>
      <c r="N792" s="125"/>
      <c r="O792" s="125"/>
      <c r="P792" s="125"/>
      <c r="Q792" s="125"/>
      <c r="R792" s="125"/>
      <c r="S792" s="125"/>
      <c r="T792" s="125"/>
      <c r="U792" s="125"/>
      <c r="V792" s="126"/>
      <c r="W792" s="189"/>
      <c r="X792" s="126"/>
      <c r="Y792" s="96">
        <v>1</v>
      </c>
      <c r="Z792" s="96">
        <v>13</v>
      </c>
      <c r="AA792" s="96">
        <f t="shared" si="432"/>
        <v>14</v>
      </c>
      <c r="AB792" s="97">
        <f t="shared" si="433"/>
        <v>71.227857142857147</v>
      </c>
      <c r="AC792" s="97">
        <f t="shared" si="434"/>
        <v>925.96214285714291</v>
      </c>
      <c r="AD792" s="98">
        <v>997.19</v>
      </c>
      <c r="AE792" s="98">
        <v>968.8</v>
      </c>
      <c r="AF792" s="98">
        <v>997.19</v>
      </c>
      <c r="AG792" s="98">
        <f t="shared" si="435"/>
        <v>0</v>
      </c>
      <c r="AH792" s="99">
        <v>672.5</v>
      </c>
      <c r="AI792" s="100">
        <f t="shared" si="436"/>
        <v>670610.27500000002</v>
      </c>
      <c r="AJ792" s="100">
        <f t="shared" si="470"/>
        <v>0</v>
      </c>
      <c r="AK792" s="100">
        <v>0</v>
      </c>
      <c r="AL792" s="100">
        <v>0</v>
      </c>
      <c r="AM792" s="100">
        <v>0</v>
      </c>
      <c r="AN792" s="100">
        <v>0</v>
      </c>
      <c r="AO792" s="100">
        <v>0</v>
      </c>
      <c r="AP792" s="100">
        <f t="shared" ref="AP792:AP835" si="471">ROUNDUP(SUM(AI792:AO792)*5%,0)</f>
        <v>33531</v>
      </c>
      <c r="AQ792" s="101">
        <f t="shared" ref="AQ792:AQ835" si="472">ROUNDUP(SUM(AI792:AP792),0)</f>
        <v>704142</v>
      </c>
      <c r="AR792" s="101">
        <v>0</v>
      </c>
      <c r="AS792" s="101">
        <v>0</v>
      </c>
      <c r="AT792" s="138"/>
      <c r="AU792" s="127"/>
      <c r="AV792" s="266"/>
      <c r="AW792" s="267"/>
      <c r="AX792" s="144"/>
      <c r="AY792" s="145"/>
      <c r="AZ792" s="107"/>
      <c r="BA792" s="94"/>
      <c r="BB792" s="94"/>
      <c r="BC792" s="94"/>
      <c r="BD792" s="94"/>
      <c r="BE792" s="95"/>
      <c r="BF792" s="95"/>
      <c r="BG792" s="95"/>
      <c r="BH792" s="95"/>
      <c r="BI792" s="95"/>
      <c r="BJ792" s="95"/>
      <c r="BK792" s="95"/>
      <c r="BL792" s="95"/>
      <c r="BM792" s="95"/>
      <c r="BN792" s="110" t="s">
        <v>951</v>
      </c>
    </row>
    <row r="793" spans="1:66" s="8" customFormat="1" ht="12.75" customHeight="1" x14ac:dyDescent="0.25">
      <c r="A793" s="150">
        <v>723</v>
      </c>
      <c r="B793" s="150">
        <v>32</v>
      </c>
      <c r="C793" s="90">
        <v>5</v>
      </c>
      <c r="D793" s="111" t="s">
        <v>113</v>
      </c>
      <c r="E793" s="210" t="s">
        <v>940</v>
      </c>
      <c r="F793" s="150" t="s">
        <v>29</v>
      </c>
      <c r="G793" s="150" t="s">
        <v>15</v>
      </c>
      <c r="H793" s="150" t="s">
        <v>124</v>
      </c>
      <c r="I793" s="150" t="s">
        <v>372</v>
      </c>
      <c r="J793" s="151">
        <v>45609</v>
      </c>
      <c r="K793" s="135" t="s">
        <v>117</v>
      </c>
      <c r="L793" s="135">
        <v>261006090</v>
      </c>
      <c r="M793" s="151">
        <v>45610</v>
      </c>
      <c r="N793" s="152">
        <v>45610.1875</v>
      </c>
      <c r="O793" s="152">
        <v>45610.1875</v>
      </c>
      <c r="P793" s="152">
        <v>45610.197916666664</v>
      </c>
      <c r="Q793" s="152">
        <v>45610.364583333336</v>
      </c>
      <c r="R793" s="152" t="s">
        <v>118</v>
      </c>
      <c r="S793" s="152" t="s">
        <v>118</v>
      </c>
      <c r="T793" s="152">
        <v>45610.395833333336</v>
      </c>
      <c r="U793" s="152">
        <v>45610.652083333334</v>
      </c>
      <c r="V793" s="219">
        <f t="shared" ref="V793:V831" si="473">+Q793-O793</f>
        <v>0.17708333333575865</v>
      </c>
      <c r="W793" s="203">
        <v>0.20833333333333334</v>
      </c>
      <c r="X793" s="219" t="str">
        <f t="shared" ref="X793:X831" si="474">IF(VALUE(V793)&lt;=VALUE("05:00"),"00:00",VALUE(V793)-VALUE("05:00"))</f>
        <v>00:00</v>
      </c>
      <c r="Y793" s="96">
        <v>0</v>
      </c>
      <c r="Z793" s="96">
        <v>59</v>
      </c>
      <c r="AA793" s="96">
        <f t="shared" ref="AA793:AA856" si="475">+Y793+Z793</f>
        <v>59</v>
      </c>
      <c r="AB793" s="97">
        <f t="shared" ref="AB793:AB856" si="476">+AD793/AA793*Y793</f>
        <v>0</v>
      </c>
      <c r="AC793" s="97">
        <f t="shared" ref="AC793:AC856" si="477">+AD793/AA793*Z793</f>
        <v>4002.38</v>
      </c>
      <c r="AD793" s="98">
        <v>4002.38</v>
      </c>
      <c r="AE793" s="98">
        <v>4096.1000000000004</v>
      </c>
      <c r="AF793" s="98">
        <v>4102.3999999999996</v>
      </c>
      <c r="AG793" s="98">
        <f t="shared" ref="AG793:AG856" si="478">+AF793-AD793</f>
        <v>100.01999999999953</v>
      </c>
      <c r="AH793" s="99">
        <v>797.2</v>
      </c>
      <c r="AI793" s="100">
        <f t="shared" ref="AI793:AI856" si="479">+AF793*AH793</f>
        <v>3270433.28</v>
      </c>
      <c r="AJ793" s="100">
        <f>(0.4*AH793)*2</f>
        <v>637.7600000000001</v>
      </c>
      <c r="AK793" s="100">
        <v>0</v>
      </c>
      <c r="AL793" s="100">
        <v>0</v>
      </c>
      <c r="AM793" s="100">
        <v>0</v>
      </c>
      <c r="AN793" s="100">
        <v>0</v>
      </c>
      <c r="AO793" s="100">
        <v>0</v>
      </c>
      <c r="AP793" s="100">
        <f t="shared" si="471"/>
        <v>163554</v>
      </c>
      <c r="AQ793" s="101">
        <f t="shared" si="472"/>
        <v>3434626</v>
      </c>
      <c r="AR793" s="101">
        <v>0</v>
      </c>
      <c r="AS793" s="101">
        <v>0</v>
      </c>
      <c r="AT793" s="102" t="s">
        <v>33</v>
      </c>
      <c r="AU793" s="109" t="s">
        <v>118</v>
      </c>
      <c r="AV793" s="100">
        <v>0</v>
      </c>
      <c r="AW793" s="262">
        <v>0</v>
      </c>
      <c r="AX793" s="216">
        <f t="shared" ref="AX793:AX830" si="480">IFERROR((AG793/AF793)*100, "")</f>
        <v>2.4380850234009248</v>
      </c>
      <c r="AY793" s="217">
        <f t="shared" ref="AY793:AY830" si="481">ROUNDUP(AG793*AH793,0)</f>
        <v>79736</v>
      </c>
      <c r="AZ793" s="107"/>
      <c r="BA793" s="94">
        <v>45610.1875</v>
      </c>
      <c r="BB793" s="94">
        <v>45610.197916666664</v>
      </c>
      <c r="BC793" s="94">
        <v>45610.197916666664</v>
      </c>
      <c r="BD793" s="94">
        <v>45610.354166666664</v>
      </c>
      <c r="BE793" s="95">
        <f t="shared" ref="BE793:BE806" si="482">+BD793-BA793</f>
        <v>0.16666666666424135</v>
      </c>
      <c r="BF793" s="95">
        <v>0</v>
      </c>
      <c r="BG793" s="95">
        <v>4.8611111111111112E-2</v>
      </c>
      <c r="BH793" s="95">
        <f t="shared" ref="BH793:BJ806" si="483">+BB793-BA793</f>
        <v>1.0416666664241347E-2</v>
      </c>
      <c r="BI793" s="95">
        <f t="shared" si="483"/>
        <v>0</v>
      </c>
      <c r="BJ793" s="95">
        <f t="shared" si="483"/>
        <v>0.15625</v>
      </c>
      <c r="BK793" s="95">
        <f t="shared" ref="BK793:BK806" si="484">+BI793+BJ793</f>
        <v>0.15625</v>
      </c>
      <c r="BL793" s="95">
        <f t="shared" ref="BL793:BL806" si="485">+BE793-BH793-BF793-BG793</f>
        <v>0.1076388888888889</v>
      </c>
      <c r="BM793" s="95" t="str">
        <f t="shared" ref="BM793:BM806" si="486">IF(VALUE(BE793)&lt;=VALUE("05:00"),"00:00",VALUE(BE793)-VALUE("05:00"))</f>
        <v>00:00</v>
      </c>
      <c r="BN793" s="110"/>
    </row>
    <row r="794" spans="1:66" s="8" customFormat="1" ht="12.75" customHeight="1" x14ac:dyDescent="0.25">
      <c r="A794" s="150">
        <v>724</v>
      </c>
      <c r="B794" s="150">
        <v>33</v>
      </c>
      <c r="C794" s="90">
        <v>2</v>
      </c>
      <c r="D794" s="111" t="s">
        <v>148</v>
      </c>
      <c r="E794" s="210" t="s">
        <v>950</v>
      </c>
      <c r="F794" s="150" t="s">
        <v>16</v>
      </c>
      <c r="G794" s="150" t="s">
        <v>17</v>
      </c>
      <c r="H794" s="150" t="s">
        <v>150</v>
      </c>
      <c r="I794" s="150" t="s">
        <v>254</v>
      </c>
      <c r="J794" s="151">
        <v>45610</v>
      </c>
      <c r="K794" s="135" t="s">
        <v>122</v>
      </c>
      <c r="L794" s="135">
        <v>461000547</v>
      </c>
      <c r="M794" s="151">
        <v>45610</v>
      </c>
      <c r="N794" s="152">
        <v>45610.381944444445</v>
      </c>
      <c r="O794" s="152">
        <v>45610.381944444445</v>
      </c>
      <c r="P794" s="152">
        <v>45610.392361111109</v>
      </c>
      <c r="Q794" s="152">
        <v>45610.5625</v>
      </c>
      <c r="R794" s="152" t="s">
        <v>118</v>
      </c>
      <c r="S794" s="152" t="s">
        <v>118</v>
      </c>
      <c r="T794" s="152">
        <v>45610.708333333336</v>
      </c>
      <c r="U794" s="152">
        <v>45610.895833333336</v>
      </c>
      <c r="V794" s="219">
        <f t="shared" si="473"/>
        <v>0.18055555555474712</v>
      </c>
      <c r="W794" s="203">
        <v>0.20833333333333334</v>
      </c>
      <c r="X794" s="219" t="str">
        <f t="shared" si="474"/>
        <v>00:00</v>
      </c>
      <c r="Y794" s="96">
        <v>20</v>
      </c>
      <c r="Z794" s="96">
        <v>39</v>
      </c>
      <c r="AA794" s="96">
        <f t="shared" si="475"/>
        <v>59</v>
      </c>
      <c r="AB794" s="97">
        <f t="shared" si="476"/>
        <v>1406.3728813559323</v>
      </c>
      <c r="AC794" s="97">
        <f t="shared" si="477"/>
        <v>2742.4271186440678</v>
      </c>
      <c r="AD794" s="98">
        <v>4148.8</v>
      </c>
      <c r="AE794" s="98">
        <v>4102.3999999999996</v>
      </c>
      <c r="AF794" s="98">
        <v>4161.3999999999996</v>
      </c>
      <c r="AG794" s="98">
        <f t="shared" si="478"/>
        <v>12.599999999999454</v>
      </c>
      <c r="AH794" s="99">
        <v>672.5</v>
      </c>
      <c r="AI794" s="100">
        <f t="shared" si="479"/>
        <v>2798541.4999999995</v>
      </c>
      <c r="AJ794" s="100">
        <f>(0*AH794)*2</f>
        <v>0</v>
      </c>
      <c r="AK794" s="100">
        <v>0</v>
      </c>
      <c r="AL794" s="100">
        <v>88310</v>
      </c>
      <c r="AM794" s="100">
        <v>0</v>
      </c>
      <c r="AN794" s="100">
        <v>0</v>
      </c>
      <c r="AO794" s="100">
        <v>0</v>
      </c>
      <c r="AP794" s="100">
        <f t="shared" si="471"/>
        <v>144343</v>
      </c>
      <c r="AQ794" s="101">
        <f t="shared" si="472"/>
        <v>3031195</v>
      </c>
      <c r="AR794" s="101">
        <v>0</v>
      </c>
      <c r="AS794" s="101">
        <v>0</v>
      </c>
      <c r="AT794" s="102" t="s">
        <v>33</v>
      </c>
      <c r="AU794" s="109">
        <v>59</v>
      </c>
      <c r="AV794" s="100">
        <f>261.4-46.4</f>
        <v>214.99999999999997</v>
      </c>
      <c r="AW794" s="262">
        <v>0</v>
      </c>
      <c r="AX794" s="216">
        <f t="shared" si="480"/>
        <v>0.30278271735472329</v>
      </c>
      <c r="AY794" s="217">
        <f t="shared" si="481"/>
        <v>8474</v>
      </c>
      <c r="AZ794" s="107"/>
      <c r="BA794" s="94">
        <v>45610.381944444445</v>
      </c>
      <c r="BB794" s="94">
        <v>45610.392361111109</v>
      </c>
      <c r="BC794" s="94">
        <v>45610.392361111109</v>
      </c>
      <c r="BD794" s="94">
        <v>45610.51666666667</v>
      </c>
      <c r="BE794" s="95">
        <f t="shared" si="482"/>
        <v>0.13472222222480923</v>
      </c>
      <c r="BF794" s="95">
        <v>2.361111111111111E-2</v>
      </c>
      <c r="BG794" s="95">
        <v>0</v>
      </c>
      <c r="BH794" s="95">
        <f t="shared" si="483"/>
        <v>1.0416666664241347E-2</v>
      </c>
      <c r="BI794" s="95">
        <f t="shared" si="483"/>
        <v>0</v>
      </c>
      <c r="BJ794" s="95">
        <f t="shared" si="483"/>
        <v>0.12430555556056788</v>
      </c>
      <c r="BK794" s="95">
        <f t="shared" si="484"/>
        <v>0.12430555556056788</v>
      </c>
      <c r="BL794" s="95">
        <f t="shared" si="485"/>
        <v>0.10069444444945677</v>
      </c>
      <c r="BM794" s="95" t="str">
        <f t="shared" si="486"/>
        <v>00:00</v>
      </c>
      <c r="BN794" s="110"/>
    </row>
    <row r="795" spans="1:66" s="8" customFormat="1" ht="12.75" customHeight="1" x14ac:dyDescent="0.25">
      <c r="A795" s="150">
        <v>725</v>
      </c>
      <c r="B795" s="150">
        <v>34</v>
      </c>
      <c r="C795" s="90">
        <v>2</v>
      </c>
      <c r="D795" s="111" t="s">
        <v>113</v>
      </c>
      <c r="E795" s="210" t="s">
        <v>948</v>
      </c>
      <c r="F795" s="150" t="s">
        <v>14</v>
      </c>
      <c r="G795" s="150" t="s">
        <v>15</v>
      </c>
      <c r="H795" s="150" t="s">
        <v>779</v>
      </c>
      <c r="I795" s="150" t="s">
        <v>952</v>
      </c>
      <c r="J795" s="151">
        <v>45610</v>
      </c>
      <c r="K795" s="135" t="s">
        <v>117</v>
      </c>
      <c r="L795" s="135">
        <v>281000260</v>
      </c>
      <c r="M795" s="151">
        <v>45611</v>
      </c>
      <c r="N795" s="152">
        <v>45610.753472222219</v>
      </c>
      <c r="O795" s="152">
        <v>45610.753472222219</v>
      </c>
      <c r="P795" s="152">
        <v>45610.78125</v>
      </c>
      <c r="Q795" s="152">
        <v>45610.958333333336</v>
      </c>
      <c r="R795" s="152" t="s">
        <v>118</v>
      </c>
      <c r="S795" s="152" t="s">
        <v>118</v>
      </c>
      <c r="T795" s="152">
        <v>45610.979166666664</v>
      </c>
      <c r="U795" s="152">
        <v>45611.085416666669</v>
      </c>
      <c r="V795" s="219">
        <f t="shared" si="473"/>
        <v>0.20486111111677019</v>
      </c>
      <c r="W795" s="203">
        <v>0.20833333333333334</v>
      </c>
      <c r="X795" s="219" t="str">
        <f t="shared" si="474"/>
        <v>00:00</v>
      </c>
      <c r="Y795" s="96">
        <v>1</v>
      </c>
      <c r="Z795" s="96">
        <v>58</v>
      </c>
      <c r="AA795" s="96">
        <f t="shared" si="475"/>
        <v>59</v>
      </c>
      <c r="AB795" s="97">
        <f t="shared" si="476"/>
        <v>68.516440677966102</v>
      </c>
      <c r="AC795" s="97">
        <f t="shared" si="477"/>
        <v>3973.9535593220339</v>
      </c>
      <c r="AD795" s="98">
        <v>4042.47</v>
      </c>
      <c r="AE795" s="98">
        <v>4102.8</v>
      </c>
      <c r="AF795" s="98">
        <v>4105</v>
      </c>
      <c r="AG795" s="98">
        <f t="shared" si="478"/>
        <v>62.5300000000002</v>
      </c>
      <c r="AH795" s="99">
        <v>1435.6</v>
      </c>
      <c r="AI795" s="100">
        <f t="shared" si="479"/>
        <v>5893138</v>
      </c>
      <c r="AJ795" s="100">
        <f>(0*AH795)*2</f>
        <v>0</v>
      </c>
      <c r="AK795" s="100">
        <v>0</v>
      </c>
      <c r="AL795" s="100">
        <v>0</v>
      </c>
      <c r="AM795" s="100">
        <v>0</v>
      </c>
      <c r="AN795" s="100">
        <v>0</v>
      </c>
      <c r="AO795" s="100">
        <v>0</v>
      </c>
      <c r="AP795" s="100">
        <f t="shared" si="471"/>
        <v>294657</v>
      </c>
      <c r="AQ795" s="101">
        <f t="shared" si="472"/>
        <v>6187795</v>
      </c>
      <c r="AR795" s="101">
        <v>0</v>
      </c>
      <c r="AS795" s="101">
        <v>0</v>
      </c>
      <c r="AT795" s="102" t="s">
        <v>33</v>
      </c>
      <c r="AU795" s="109" t="s">
        <v>118</v>
      </c>
      <c r="AV795" s="100">
        <v>0</v>
      </c>
      <c r="AW795" s="262">
        <v>0</v>
      </c>
      <c r="AX795" s="216">
        <f t="shared" si="480"/>
        <v>1.5232643118148648</v>
      </c>
      <c r="AY795" s="217">
        <f t="shared" si="481"/>
        <v>89769</v>
      </c>
      <c r="AZ795" s="107"/>
      <c r="BA795" s="94">
        <v>45610.753472222219</v>
      </c>
      <c r="BB795" s="94">
        <v>45610.78125</v>
      </c>
      <c r="BC795" s="94">
        <v>45610.78125</v>
      </c>
      <c r="BD795" s="94">
        <v>45610.961111111108</v>
      </c>
      <c r="BE795" s="95">
        <f t="shared" si="482"/>
        <v>0.20763888888905058</v>
      </c>
      <c r="BF795" s="95">
        <v>0</v>
      </c>
      <c r="BG795" s="95">
        <v>5.6250000000000001E-2</v>
      </c>
      <c r="BH795" s="95">
        <f t="shared" si="483"/>
        <v>2.7777777781011537E-2</v>
      </c>
      <c r="BI795" s="95">
        <f t="shared" si="483"/>
        <v>0</v>
      </c>
      <c r="BJ795" s="95">
        <f t="shared" si="483"/>
        <v>0.17986111110803904</v>
      </c>
      <c r="BK795" s="95">
        <f t="shared" si="484"/>
        <v>0.17986111110803904</v>
      </c>
      <c r="BL795" s="95">
        <f t="shared" si="485"/>
        <v>0.12361111110803905</v>
      </c>
      <c r="BM795" s="95" t="str">
        <f t="shared" si="486"/>
        <v>00:00</v>
      </c>
      <c r="BN795" s="110"/>
    </row>
    <row r="796" spans="1:66" s="8" customFormat="1" ht="12.75" customHeight="1" x14ac:dyDescent="0.25">
      <c r="A796" s="150">
        <v>726</v>
      </c>
      <c r="B796" s="150">
        <v>35</v>
      </c>
      <c r="C796" s="90">
        <v>3</v>
      </c>
      <c r="D796" s="111" t="s">
        <v>148</v>
      </c>
      <c r="E796" s="210" t="s">
        <v>950</v>
      </c>
      <c r="F796" s="150" t="s">
        <v>16</v>
      </c>
      <c r="G796" s="150" t="s">
        <v>17</v>
      </c>
      <c r="H796" s="150" t="s">
        <v>150</v>
      </c>
      <c r="I796" s="150" t="s">
        <v>256</v>
      </c>
      <c r="J796" s="151">
        <v>45610</v>
      </c>
      <c r="K796" s="135" t="s">
        <v>122</v>
      </c>
      <c r="L796" s="135">
        <v>461000548</v>
      </c>
      <c r="M796" s="151">
        <v>45611</v>
      </c>
      <c r="N796" s="152">
        <v>45610.96875</v>
      </c>
      <c r="O796" s="152">
        <v>45610.96875</v>
      </c>
      <c r="P796" s="152">
        <v>45610.982638888891</v>
      </c>
      <c r="Q796" s="152">
        <v>45611.177083333336</v>
      </c>
      <c r="R796" s="152" t="s">
        <v>118</v>
      </c>
      <c r="S796" s="152" t="s">
        <v>118</v>
      </c>
      <c r="T796" s="152">
        <v>45611.333333333336</v>
      </c>
      <c r="U796" s="152">
        <v>45611.456250000003</v>
      </c>
      <c r="V796" s="219">
        <f t="shared" si="473"/>
        <v>0.20833333333575865</v>
      </c>
      <c r="W796" s="203">
        <v>0.20833333333333334</v>
      </c>
      <c r="X796" s="219">
        <f t="shared" si="474"/>
        <v>2.4253099528692701E-12</v>
      </c>
      <c r="Y796" s="96">
        <v>22</v>
      </c>
      <c r="Z796" s="96">
        <v>36</v>
      </c>
      <c r="AA796" s="96">
        <f t="shared" si="475"/>
        <v>58</v>
      </c>
      <c r="AB796" s="97">
        <f t="shared" si="476"/>
        <v>1424.1662068965516</v>
      </c>
      <c r="AC796" s="97">
        <f t="shared" si="477"/>
        <v>2330.4537931034479</v>
      </c>
      <c r="AD796" s="98">
        <v>3754.62</v>
      </c>
      <c r="AE796" s="98">
        <v>4045</v>
      </c>
      <c r="AF796" s="98">
        <v>4045</v>
      </c>
      <c r="AG796" s="98">
        <f t="shared" si="478"/>
        <v>290.38000000000011</v>
      </c>
      <c r="AH796" s="99">
        <v>672.5</v>
      </c>
      <c r="AI796" s="100">
        <f t="shared" si="479"/>
        <v>2720262.5</v>
      </c>
      <c r="AJ796" s="100">
        <f>(0*AH796)*2</f>
        <v>0</v>
      </c>
      <c r="AK796" s="100">
        <v>0</v>
      </c>
      <c r="AL796" s="100">
        <v>0</v>
      </c>
      <c r="AM796" s="100">
        <v>0</v>
      </c>
      <c r="AN796" s="100">
        <v>0</v>
      </c>
      <c r="AO796" s="100">
        <v>0</v>
      </c>
      <c r="AP796" s="100">
        <f t="shared" si="471"/>
        <v>136014</v>
      </c>
      <c r="AQ796" s="101">
        <f t="shared" si="472"/>
        <v>2856277</v>
      </c>
      <c r="AR796" s="101">
        <v>0</v>
      </c>
      <c r="AS796" s="101">
        <v>0</v>
      </c>
      <c r="AT796" s="102" t="s">
        <v>33</v>
      </c>
      <c r="AU796" s="109" t="s">
        <v>118</v>
      </c>
      <c r="AV796" s="100">
        <v>0</v>
      </c>
      <c r="AW796" s="262">
        <v>0</v>
      </c>
      <c r="AX796" s="216">
        <f t="shared" si="480"/>
        <v>7.1787391841780002</v>
      </c>
      <c r="AY796" s="217">
        <f t="shared" si="481"/>
        <v>195281</v>
      </c>
      <c r="AZ796" s="107"/>
      <c r="BA796" s="94">
        <v>45610.96875</v>
      </c>
      <c r="BB796" s="94">
        <v>45610.982638888891</v>
      </c>
      <c r="BC796" s="94">
        <v>45611.017361111109</v>
      </c>
      <c r="BD796" s="94">
        <v>45611.121527777781</v>
      </c>
      <c r="BE796" s="95">
        <f t="shared" si="482"/>
        <v>0.15277777778101154</v>
      </c>
      <c r="BF796" s="95">
        <v>4.8611111111111112E-2</v>
      </c>
      <c r="BG796" s="95">
        <v>1.0416666666666666E-2</v>
      </c>
      <c r="BH796" s="95">
        <f t="shared" si="483"/>
        <v>1.3888888890505768E-2</v>
      </c>
      <c r="BI796" s="95">
        <f t="shared" si="483"/>
        <v>3.4722222218988463E-2</v>
      </c>
      <c r="BJ796" s="95">
        <f t="shared" si="483"/>
        <v>0.10416666667151731</v>
      </c>
      <c r="BK796" s="95">
        <f t="shared" si="484"/>
        <v>0.13888888889050577</v>
      </c>
      <c r="BL796" s="95">
        <f t="shared" si="485"/>
        <v>7.9861111112727992E-2</v>
      </c>
      <c r="BM796" s="95" t="str">
        <f t="shared" si="486"/>
        <v>00:00</v>
      </c>
      <c r="BN796" s="110"/>
    </row>
    <row r="797" spans="1:66" s="8" customFormat="1" ht="12.75" customHeight="1" x14ac:dyDescent="0.25">
      <c r="A797" s="150">
        <v>727</v>
      </c>
      <c r="B797" s="150">
        <v>36</v>
      </c>
      <c r="C797" s="90">
        <v>6</v>
      </c>
      <c r="D797" s="111" t="s">
        <v>113</v>
      </c>
      <c r="E797" s="210" t="s">
        <v>940</v>
      </c>
      <c r="F797" s="150" t="s">
        <v>29</v>
      </c>
      <c r="G797" s="150" t="s">
        <v>15</v>
      </c>
      <c r="H797" s="150" t="s">
        <v>124</v>
      </c>
      <c r="I797" s="150" t="s">
        <v>953</v>
      </c>
      <c r="J797" s="151">
        <v>45611</v>
      </c>
      <c r="K797" s="135" t="s">
        <v>117</v>
      </c>
      <c r="L797" s="135">
        <v>261006091</v>
      </c>
      <c r="M797" s="151">
        <v>45611</v>
      </c>
      <c r="N797" s="152">
        <v>45611.34375</v>
      </c>
      <c r="O797" s="152">
        <v>45611.34375</v>
      </c>
      <c r="P797" s="152">
        <v>45611.354166666664</v>
      </c>
      <c r="Q797" s="152">
        <v>45611.53125</v>
      </c>
      <c r="R797" s="152" t="s">
        <v>118</v>
      </c>
      <c r="S797" s="152" t="s">
        <v>118</v>
      </c>
      <c r="T797" s="152">
        <v>45611.583333333336</v>
      </c>
      <c r="U797" s="152">
        <v>45611.75</v>
      </c>
      <c r="V797" s="219">
        <f t="shared" si="473"/>
        <v>0.1875</v>
      </c>
      <c r="W797" s="203">
        <v>0.20833333333333334</v>
      </c>
      <c r="X797" s="219" t="str">
        <f t="shared" si="474"/>
        <v>00:00</v>
      </c>
      <c r="Y797" s="96">
        <v>0</v>
      </c>
      <c r="Z797" s="96">
        <v>57</v>
      </c>
      <c r="AA797" s="96">
        <f t="shared" si="475"/>
        <v>57</v>
      </c>
      <c r="AB797" s="97">
        <f t="shared" si="476"/>
        <v>0</v>
      </c>
      <c r="AC797" s="97">
        <f t="shared" si="477"/>
        <v>3811.7000000000003</v>
      </c>
      <c r="AD797" s="98">
        <v>3811.7</v>
      </c>
      <c r="AE797" s="98">
        <v>3966.6</v>
      </c>
      <c r="AF797" s="98">
        <v>3970</v>
      </c>
      <c r="AG797" s="98">
        <f t="shared" si="478"/>
        <v>158.30000000000018</v>
      </c>
      <c r="AH797" s="99">
        <v>797.2</v>
      </c>
      <c r="AI797" s="100">
        <f t="shared" si="479"/>
        <v>3164884</v>
      </c>
      <c r="AJ797" s="100">
        <f>(0*AH797)*2</f>
        <v>0</v>
      </c>
      <c r="AK797" s="100">
        <v>0</v>
      </c>
      <c r="AL797" s="100">
        <v>23990</v>
      </c>
      <c r="AM797" s="100">
        <v>0</v>
      </c>
      <c r="AN797" s="100">
        <v>0</v>
      </c>
      <c r="AO797" s="100">
        <v>0</v>
      </c>
      <c r="AP797" s="100">
        <f t="shared" si="471"/>
        <v>159444</v>
      </c>
      <c r="AQ797" s="101">
        <f t="shared" si="472"/>
        <v>3348318</v>
      </c>
      <c r="AR797" s="101">
        <v>0</v>
      </c>
      <c r="AS797" s="101">
        <v>0</v>
      </c>
      <c r="AT797" s="102" t="s">
        <v>33</v>
      </c>
      <c r="AU797" s="109">
        <v>2</v>
      </c>
      <c r="AV797" s="100">
        <f>5.4-2.9</f>
        <v>2.5000000000000004</v>
      </c>
      <c r="AW797" s="262">
        <v>0</v>
      </c>
      <c r="AX797" s="216">
        <f t="shared" si="480"/>
        <v>3.9874055415617171</v>
      </c>
      <c r="AY797" s="217">
        <f t="shared" si="481"/>
        <v>126197</v>
      </c>
      <c r="AZ797" s="107"/>
      <c r="BA797" s="94">
        <v>45611.34375</v>
      </c>
      <c r="BB797" s="94">
        <v>45611.354166666664</v>
      </c>
      <c r="BC797" s="94">
        <v>45611.354166666664</v>
      </c>
      <c r="BD797" s="94">
        <v>45611.510416666664</v>
      </c>
      <c r="BE797" s="95">
        <f t="shared" si="482"/>
        <v>0.16666666666424135</v>
      </c>
      <c r="BF797" s="95">
        <v>0</v>
      </c>
      <c r="BG797" s="95">
        <v>6.25E-2</v>
      </c>
      <c r="BH797" s="95">
        <f t="shared" si="483"/>
        <v>1.0416666664241347E-2</v>
      </c>
      <c r="BI797" s="95">
        <f t="shared" si="483"/>
        <v>0</v>
      </c>
      <c r="BJ797" s="95">
        <f t="shared" si="483"/>
        <v>0.15625</v>
      </c>
      <c r="BK797" s="95">
        <f t="shared" si="484"/>
        <v>0.15625</v>
      </c>
      <c r="BL797" s="95">
        <f t="shared" si="485"/>
        <v>9.375E-2</v>
      </c>
      <c r="BM797" s="95" t="str">
        <f t="shared" si="486"/>
        <v>00:00</v>
      </c>
      <c r="BN797" s="110"/>
    </row>
    <row r="798" spans="1:66" s="8" customFormat="1" ht="12.75" customHeight="1" x14ac:dyDescent="0.25">
      <c r="A798" s="150">
        <v>728</v>
      </c>
      <c r="B798" s="150">
        <v>37</v>
      </c>
      <c r="C798" s="90">
        <v>4</v>
      </c>
      <c r="D798" s="111" t="s">
        <v>148</v>
      </c>
      <c r="E798" s="210" t="s">
        <v>950</v>
      </c>
      <c r="F798" s="150" t="s">
        <v>16</v>
      </c>
      <c r="G798" s="150" t="s">
        <v>17</v>
      </c>
      <c r="H798" s="150" t="s">
        <v>150</v>
      </c>
      <c r="I798" s="150" t="s">
        <v>259</v>
      </c>
      <c r="J798" s="151">
        <v>45611</v>
      </c>
      <c r="K798" s="135" t="s">
        <v>122</v>
      </c>
      <c r="L798" s="135">
        <v>461000549</v>
      </c>
      <c r="M798" s="151">
        <v>45612</v>
      </c>
      <c r="N798" s="152">
        <v>45611.6875</v>
      </c>
      <c r="O798" s="152">
        <v>45611.6875</v>
      </c>
      <c r="P798" s="152">
        <v>45611.690972222219</v>
      </c>
      <c r="Q798" s="152">
        <v>45611.875</v>
      </c>
      <c r="R798" s="152" t="s">
        <v>118</v>
      </c>
      <c r="S798" s="152" t="s">
        <v>118</v>
      </c>
      <c r="T798" s="152">
        <v>45611.965277777781</v>
      </c>
      <c r="U798" s="152">
        <v>45612.086805555555</v>
      </c>
      <c r="V798" s="219">
        <f t="shared" si="473"/>
        <v>0.1875</v>
      </c>
      <c r="W798" s="203">
        <v>0.20833333333333334</v>
      </c>
      <c r="X798" s="219" t="str">
        <f t="shared" si="474"/>
        <v>00:00</v>
      </c>
      <c r="Y798" s="96">
        <v>39</v>
      </c>
      <c r="Z798" s="96">
        <v>20</v>
      </c>
      <c r="AA798" s="96">
        <f t="shared" si="475"/>
        <v>59</v>
      </c>
      <c r="AB798" s="97">
        <f t="shared" si="476"/>
        <v>2620.7669491525426</v>
      </c>
      <c r="AC798" s="97">
        <f t="shared" si="477"/>
        <v>1343.9830508474577</v>
      </c>
      <c r="AD798" s="98">
        <v>3964.75</v>
      </c>
      <c r="AE798" s="98">
        <v>4065.8</v>
      </c>
      <c r="AF798" s="98">
        <v>4068.8</v>
      </c>
      <c r="AG798" s="98">
        <f t="shared" si="478"/>
        <v>104.05000000000018</v>
      </c>
      <c r="AH798" s="99">
        <v>672.5</v>
      </c>
      <c r="AI798" s="100">
        <f t="shared" si="479"/>
        <v>2736268</v>
      </c>
      <c r="AJ798" s="100">
        <f>(3*AH798)*2</f>
        <v>4035</v>
      </c>
      <c r="AK798" s="100">
        <v>0</v>
      </c>
      <c r="AL798" s="100">
        <v>0</v>
      </c>
      <c r="AM798" s="100">
        <v>0</v>
      </c>
      <c r="AN798" s="100">
        <v>0</v>
      </c>
      <c r="AO798" s="100">
        <v>0</v>
      </c>
      <c r="AP798" s="100">
        <f t="shared" si="471"/>
        <v>137016</v>
      </c>
      <c r="AQ798" s="101">
        <f t="shared" si="472"/>
        <v>2877319</v>
      </c>
      <c r="AR798" s="101">
        <v>0</v>
      </c>
      <c r="AS798" s="101">
        <v>0</v>
      </c>
      <c r="AT798" s="102" t="s">
        <v>33</v>
      </c>
      <c r="AU798" s="109" t="s">
        <v>118</v>
      </c>
      <c r="AV798" s="100">
        <v>0</v>
      </c>
      <c r="AW798" s="262">
        <v>0</v>
      </c>
      <c r="AX798" s="216">
        <f t="shared" si="480"/>
        <v>2.5572650412898192</v>
      </c>
      <c r="AY798" s="217">
        <f t="shared" si="481"/>
        <v>69974</v>
      </c>
      <c r="AZ798" s="107"/>
      <c r="BA798" s="94">
        <v>45611.6875</v>
      </c>
      <c r="BB798" s="94">
        <v>45611.690972222219</v>
      </c>
      <c r="BC798" s="94">
        <v>45611.743055555555</v>
      </c>
      <c r="BD798" s="94">
        <v>45611.799305555556</v>
      </c>
      <c r="BE798" s="95">
        <f t="shared" si="482"/>
        <v>0.11180555555620231</v>
      </c>
      <c r="BF798" s="95">
        <v>0</v>
      </c>
      <c r="BG798" s="95">
        <v>5.4166666666666669E-2</v>
      </c>
      <c r="BH798" s="95">
        <f t="shared" si="483"/>
        <v>3.4722222189884633E-3</v>
      </c>
      <c r="BI798" s="95">
        <f t="shared" si="483"/>
        <v>5.2083333335758653E-2</v>
      </c>
      <c r="BJ798" s="95">
        <f t="shared" si="483"/>
        <v>5.6250000001455192E-2</v>
      </c>
      <c r="BK798" s="95">
        <f t="shared" si="484"/>
        <v>0.10833333333721384</v>
      </c>
      <c r="BL798" s="95">
        <f t="shared" si="485"/>
        <v>5.4166666670547176E-2</v>
      </c>
      <c r="BM798" s="95" t="str">
        <f t="shared" si="486"/>
        <v>00:00</v>
      </c>
      <c r="BN798" s="110"/>
    </row>
    <row r="799" spans="1:66" s="8" customFormat="1" ht="12.75" customHeight="1" x14ac:dyDescent="0.25">
      <c r="A799" s="150">
        <v>729</v>
      </c>
      <c r="B799" s="150">
        <v>38</v>
      </c>
      <c r="C799" s="90">
        <v>7</v>
      </c>
      <c r="D799" s="111" t="s">
        <v>113</v>
      </c>
      <c r="E799" s="210" t="s">
        <v>940</v>
      </c>
      <c r="F799" s="150" t="s">
        <v>29</v>
      </c>
      <c r="G799" s="150" t="s">
        <v>15</v>
      </c>
      <c r="H799" s="150" t="s">
        <v>124</v>
      </c>
      <c r="I799" s="150" t="s">
        <v>954</v>
      </c>
      <c r="J799" s="151">
        <v>45611</v>
      </c>
      <c r="K799" s="135" t="s">
        <v>117</v>
      </c>
      <c r="L799" s="135">
        <v>461000550</v>
      </c>
      <c r="M799" s="151">
        <v>45612</v>
      </c>
      <c r="N799" s="152">
        <v>45612.135416666664</v>
      </c>
      <c r="O799" s="152">
        <v>45612.135416666664</v>
      </c>
      <c r="P799" s="152">
        <v>45612.138888888891</v>
      </c>
      <c r="Q799" s="152">
        <v>45612.34375</v>
      </c>
      <c r="R799" s="152" t="s">
        <v>118</v>
      </c>
      <c r="S799" s="152" t="s">
        <v>118</v>
      </c>
      <c r="T799" s="152">
        <v>45612.416666666664</v>
      </c>
      <c r="U799" s="152">
        <v>45612.652083333334</v>
      </c>
      <c r="V799" s="219">
        <f t="shared" si="473"/>
        <v>0.20833333333575865</v>
      </c>
      <c r="W799" s="203">
        <v>0.20833333333333334</v>
      </c>
      <c r="X799" s="219">
        <f t="shared" si="474"/>
        <v>2.4253099528692701E-12</v>
      </c>
      <c r="Y799" s="96">
        <v>0</v>
      </c>
      <c r="Z799" s="96">
        <v>59</v>
      </c>
      <c r="AA799" s="96">
        <f t="shared" si="475"/>
        <v>59</v>
      </c>
      <c r="AB799" s="97">
        <f t="shared" si="476"/>
        <v>0</v>
      </c>
      <c r="AC799" s="97">
        <f t="shared" si="477"/>
        <v>4057.46</v>
      </c>
      <c r="AD799" s="98">
        <v>4057.46</v>
      </c>
      <c r="AE799" s="98">
        <v>4127.5</v>
      </c>
      <c r="AF799" s="98">
        <v>4132.3999999999996</v>
      </c>
      <c r="AG799" s="98">
        <f t="shared" si="478"/>
        <v>74.9399999999996</v>
      </c>
      <c r="AH799" s="99">
        <v>797.2</v>
      </c>
      <c r="AI799" s="100">
        <f t="shared" si="479"/>
        <v>3294349.28</v>
      </c>
      <c r="AJ799" s="100">
        <f>(0.2*AH799)*2</f>
        <v>318.88000000000005</v>
      </c>
      <c r="AK799" s="100">
        <v>0</v>
      </c>
      <c r="AL799" s="100">
        <v>0</v>
      </c>
      <c r="AM799" s="100">
        <v>0</v>
      </c>
      <c r="AN799" s="100">
        <v>0</v>
      </c>
      <c r="AO799" s="100">
        <v>0</v>
      </c>
      <c r="AP799" s="100">
        <f t="shared" si="471"/>
        <v>164734</v>
      </c>
      <c r="AQ799" s="101">
        <f t="shared" si="472"/>
        <v>3459403</v>
      </c>
      <c r="AR799" s="101">
        <v>0</v>
      </c>
      <c r="AS799" s="101">
        <v>0</v>
      </c>
      <c r="AT799" s="102" t="s">
        <v>33</v>
      </c>
      <c r="AU799" s="109" t="s">
        <v>118</v>
      </c>
      <c r="AV799" s="100">
        <v>0</v>
      </c>
      <c r="AW799" s="262">
        <v>0</v>
      </c>
      <c r="AX799" s="216">
        <f t="shared" si="480"/>
        <v>1.8134740102603717</v>
      </c>
      <c r="AY799" s="217">
        <f t="shared" si="481"/>
        <v>59743</v>
      </c>
      <c r="AZ799" s="107"/>
      <c r="BA799" s="94">
        <v>45612.135416666664</v>
      </c>
      <c r="BB799" s="94">
        <v>45612.138888888891</v>
      </c>
      <c r="BC799" s="94">
        <v>45612.177083333336</v>
      </c>
      <c r="BD799" s="94">
        <v>45612.347916666666</v>
      </c>
      <c r="BE799" s="95">
        <f t="shared" si="482"/>
        <v>0.21250000000145519</v>
      </c>
      <c r="BF799" s="95">
        <v>3.8194444444444448E-2</v>
      </c>
      <c r="BG799" s="95">
        <v>5.9722222222222225E-2</v>
      </c>
      <c r="BH799" s="95">
        <f t="shared" si="483"/>
        <v>3.4722222262644209E-3</v>
      </c>
      <c r="BI799" s="95">
        <f t="shared" si="483"/>
        <v>3.8194444445252884E-2</v>
      </c>
      <c r="BJ799" s="95">
        <f t="shared" si="483"/>
        <v>0.17083333332993789</v>
      </c>
      <c r="BK799" s="95">
        <f t="shared" si="484"/>
        <v>0.20902777777519077</v>
      </c>
      <c r="BL799" s="95">
        <f t="shared" si="485"/>
        <v>0.11111111110852409</v>
      </c>
      <c r="BM799" s="95">
        <f t="shared" si="486"/>
        <v>4.1666666681218489E-3</v>
      </c>
      <c r="BN799" s="110"/>
    </row>
    <row r="800" spans="1:66" s="8" customFormat="1" ht="12.75" customHeight="1" x14ac:dyDescent="0.25">
      <c r="A800" s="150">
        <v>730</v>
      </c>
      <c r="B800" s="150">
        <v>39</v>
      </c>
      <c r="C800" s="90">
        <v>5</v>
      </c>
      <c r="D800" s="111" t="s">
        <v>148</v>
      </c>
      <c r="E800" s="210" t="s">
        <v>950</v>
      </c>
      <c r="F800" s="150" t="s">
        <v>16</v>
      </c>
      <c r="G800" s="150" t="s">
        <v>17</v>
      </c>
      <c r="H800" s="150" t="s">
        <v>150</v>
      </c>
      <c r="I800" s="150" t="s">
        <v>260</v>
      </c>
      <c r="J800" s="151">
        <v>45612</v>
      </c>
      <c r="K800" s="135" t="s">
        <v>122</v>
      </c>
      <c r="L800" s="135">
        <v>461000551</v>
      </c>
      <c r="M800" s="151">
        <v>45613</v>
      </c>
      <c r="N800" s="152">
        <v>45612.552083333336</v>
      </c>
      <c r="O800" s="152">
        <v>45612.552083333336</v>
      </c>
      <c r="P800" s="152">
        <v>45612.555555555555</v>
      </c>
      <c r="Q800" s="152">
        <v>45612.75</v>
      </c>
      <c r="R800" s="152" t="s">
        <v>118</v>
      </c>
      <c r="S800" s="152" t="s">
        <v>118</v>
      </c>
      <c r="T800" s="152">
        <v>45612.791666666664</v>
      </c>
      <c r="U800" s="152">
        <v>45612.989583333336</v>
      </c>
      <c r="V800" s="219">
        <f t="shared" si="473"/>
        <v>0.19791666666424135</v>
      </c>
      <c r="W800" s="203">
        <v>0.20833333333333334</v>
      </c>
      <c r="X800" s="219" t="str">
        <f t="shared" si="474"/>
        <v>00:00</v>
      </c>
      <c r="Y800" s="96">
        <v>48</v>
      </c>
      <c r="Z800" s="96">
        <v>10</v>
      </c>
      <c r="AA800" s="96">
        <f t="shared" si="475"/>
        <v>58</v>
      </c>
      <c r="AB800" s="97">
        <f t="shared" si="476"/>
        <v>3344.0275862068966</v>
      </c>
      <c r="AC800" s="97">
        <f t="shared" si="477"/>
        <v>696.67241379310337</v>
      </c>
      <c r="AD800" s="98">
        <v>4040.7</v>
      </c>
      <c r="AE800" s="98">
        <v>4060</v>
      </c>
      <c r="AF800" s="98">
        <v>4076.6</v>
      </c>
      <c r="AG800" s="98">
        <f t="shared" si="478"/>
        <v>35.900000000000091</v>
      </c>
      <c r="AH800" s="99">
        <v>672.5</v>
      </c>
      <c r="AI800" s="100">
        <f t="shared" si="479"/>
        <v>2741513.5</v>
      </c>
      <c r="AJ800" s="100">
        <f>(0*AH800)*2</f>
        <v>0</v>
      </c>
      <c r="AK800" s="100">
        <v>0</v>
      </c>
      <c r="AL800" s="100">
        <v>24140</v>
      </c>
      <c r="AM800" s="100">
        <v>0</v>
      </c>
      <c r="AN800" s="100">
        <v>0</v>
      </c>
      <c r="AO800" s="100">
        <v>0</v>
      </c>
      <c r="AP800" s="100">
        <f t="shared" si="471"/>
        <v>138283</v>
      </c>
      <c r="AQ800" s="101">
        <f t="shared" si="472"/>
        <v>2903937</v>
      </c>
      <c r="AR800" s="101">
        <v>0</v>
      </c>
      <c r="AS800" s="101">
        <v>0</v>
      </c>
      <c r="AT800" s="102" t="s">
        <v>33</v>
      </c>
      <c r="AU800" s="109">
        <v>6</v>
      </c>
      <c r="AV800" s="100">
        <f>20.2-15.7</f>
        <v>4.5</v>
      </c>
      <c r="AW800" s="262">
        <v>0</v>
      </c>
      <c r="AX800" s="216">
        <f t="shared" si="480"/>
        <v>0.88063582397095841</v>
      </c>
      <c r="AY800" s="217">
        <f t="shared" si="481"/>
        <v>24143</v>
      </c>
      <c r="AZ800" s="107"/>
      <c r="BA800" s="94">
        <v>45612.552083333336</v>
      </c>
      <c r="BB800" s="94">
        <v>45612.555555555555</v>
      </c>
      <c r="BC800" s="94">
        <v>45612.6875</v>
      </c>
      <c r="BD800" s="94">
        <v>45612.75</v>
      </c>
      <c r="BE800" s="95">
        <f t="shared" si="482"/>
        <v>0.19791666666424135</v>
      </c>
      <c r="BF800" s="95">
        <v>0</v>
      </c>
      <c r="BG800" s="95">
        <v>0.17152777777777778</v>
      </c>
      <c r="BH800" s="95">
        <f t="shared" si="483"/>
        <v>3.4722222189884633E-3</v>
      </c>
      <c r="BI800" s="95">
        <f t="shared" si="483"/>
        <v>0.13194444444525288</v>
      </c>
      <c r="BJ800" s="95">
        <f t="shared" si="483"/>
        <v>6.25E-2</v>
      </c>
      <c r="BK800" s="95">
        <f t="shared" si="484"/>
        <v>0.19444444444525288</v>
      </c>
      <c r="BL800" s="95">
        <f t="shared" si="485"/>
        <v>2.2916666667475105E-2</v>
      </c>
      <c r="BM800" s="95" t="str">
        <f t="shared" si="486"/>
        <v>00:00</v>
      </c>
      <c r="BN800" s="110"/>
    </row>
    <row r="801" spans="1:66" s="8" customFormat="1" ht="12.75" customHeight="1" x14ac:dyDescent="0.25">
      <c r="A801" s="150">
        <v>731</v>
      </c>
      <c r="B801" s="150">
        <v>40</v>
      </c>
      <c r="C801" s="90">
        <v>6</v>
      </c>
      <c r="D801" s="111" t="s">
        <v>148</v>
      </c>
      <c r="E801" s="210" t="s">
        <v>950</v>
      </c>
      <c r="F801" s="150" t="s">
        <v>16</v>
      </c>
      <c r="G801" s="150" t="s">
        <v>17</v>
      </c>
      <c r="H801" s="150" t="s">
        <v>150</v>
      </c>
      <c r="I801" s="150" t="s">
        <v>265</v>
      </c>
      <c r="J801" s="151">
        <v>45612</v>
      </c>
      <c r="K801" s="135" t="s">
        <v>117</v>
      </c>
      <c r="L801" s="135">
        <v>461000552</v>
      </c>
      <c r="M801" s="151">
        <v>45613</v>
      </c>
      <c r="N801" s="152">
        <v>45612.8125</v>
      </c>
      <c r="O801" s="152">
        <v>45612.8125</v>
      </c>
      <c r="P801" s="152">
        <v>45612.815972222219</v>
      </c>
      <c r="Q801" s="152">
        <v>45612.989583333336</v>
      </c>
      <c r="R801" s="152" t="s">
        <v>118</v>
      </c>
      <c r="S801" s="152" t="s">
        <v>118</v>
      </c>
      <c r="T801" s="152">
        <v>45613.041666666664</v>
      </c>
      <c r="U801" s="152">
        <v>45613.222222222219</v>
      </c>
      <c r="V801" s="219">
        <f t="shared" si="473"/>
        <v>0.17708333333575865</v>
      </c>
      <c r="W801" s="203">
        <v>0.20833333333333334</v>
      </c>
      <c r="X801" s="219" t="str">
        <f t="shared" si="474"/>
        <v>00:00</v>
      </c>
      <c r="Y801" s="96">
        <v>44</v>
      </c>
      <c r="Z801" s="96">
        <v>14</v>
      </c>
      <c r="AA801" s="96">
        <f t="shared" si="475"/>
        <v>58</v>
      </c>
      <c r="AB801" s="97">
        <f t="shared" si="476"/>
        <v>3070.7068965517237</v>
      </c>
      <c r="AC801" s="97">
        <f t="shared" si="477"/>
        <v>977.04310344827582</v>
      </c>
      <c r="AD801" s="98">
        <v>4047.75</v>
      </c>
      <c r="AE801" s="98">
        <v>4030.5</v>
      </c>
      <c r="AF801" s="98">
        <v>4064.6</v>
      </c>
      <c r="AG801" s="98">
        <f t="shared" si="478"/>
        <v>16.849999999999909</v>
      </c>
      <c r="AH801" s="99">
        <v>672.5</v>
      </c>
      <c r="AI801" s="100">
        <f t="shared" si="479"/>
        <v>2733443.5</v>
      </c>
      <c r="AJ801" s="100">
        <f>(0*AH801)*2</f>
        <v>0</v>
      </c>
      <c r="AK801" s="100">
        <v>0</v>
      </c>
      <c r="AL801" s="100">
        <v>24140</v>
      </c>
      <c r="AM801" s="100">
        <v>0</v>
      </c>
      <c r="AN801" s="100">
        <v>0</v>
      </c>
      <c r="AO801" s="100">
        <v>0</v>
      </c>
      <c r="AP801" s="100">
        <f t="shared" si="471"/>
        <v>137880</v>
      </c>
      <c r="AQ801" s="101">
        <f t="shared" si="472"/>
        <v>2895464</v>
      </c>
      <c r="AR801" s="101">
        <v>0</v>
      </c>
      <c r="AS801" s="101">
        <v>0</v>
      </c>
      <c r="AT801" s="102" t="s">
        <v>33</v>
      </c>
      <c r="AU801" s="109">
        <v>25</v>
      </c>
      <c r="AV801" s="100">
        <f>79.1-29.1</f>
        <v>49.999999999999993</v>
      </c>
      <c r="AW801" s="262">
        <v>0</v>
      </c>
      <c r="AX801" s="216">
        <f t="shared" si="480"/>
        <v>0.41455493775525043</v>
      </c>
      <c r="AY801" s="217">
        <f t="shared" si="481"/>
        <v>11332</v>
      </c>
      <c r="AZ801" s="107"/>
      <c r="BA801" s="94">
        <v>45612.8125</v>
      </c>
      <c r="BB801" s="94">
        <v>45612.815972222219</v>
      </c>
      <c r="BC801" s="94">
        <v>45612.986111111109</v>
      </c>
      <c r="BD801" s="94">
        <v>45613.01666666667</v>
      </c>
      <c r="BE801" s="95">
        <f t="shared" si="482"/>
        <v>0.20416666667006211</v>
      </c>
      <c r="BF801" s="95">
        <v>0</v>
      </c>
      <c r="BG801" s="95">
        <v>0.1701388888888889</v>
      </c>
      <c r="BH801" s="95">
        <f t="shared" si="483"/>
        <v>3.4722222189884633E-3</v>
      </c>
      <c r="BI801" s="95">
        <f t="shared" si="483"/>
        <v>0.17013888889050577</v>
      </c>
      <c r="BJ801" s="95">
        <f t="shared" si="483"/>
        <v>3.0555555560567882E-2</v>
      </c>
      <c r="BK801" s="95">
        <f t="shared" si="484"/>
        <v>0.20069444445107365</v>
      </c>
      <c r="BL801" s="95">
        <f t="shared" si="485"/>
        <v>3.0555555562184755E-2</v>
      </c>
      <c r="BM801" s="95" t="str">
        <f t="shared" si="486"/>
        <v>00:00</v>
      </c>
      <c r="BN801" s="110"/>
    </row>
    <row r="802" spans="1:66" s="8" customFormat="1" ht="12.75" customHeight="1" x14ac:dyDescent="0.25">
      <c r="A802" s="150">
        <v>732</v>
      </c>
      <c r="B802" s="150">
        <v>41</v>
      </c>
      <c r="C802" s="90">
        <v>25</v>
      </c>
      <c r="D802" s="111" t="s">
        <v>113</v>
      </c>
      <c r="E802" s="210" t="s">
        <v>863</v>
      </c>
      <c r="F802" s="150" t="s">
        <v>32</v>
      </c>
      <c r="G802" s="150" t="s">
        <v>8</v>
      </c>
      <c r="H802" s="150" t="s">
        <v>779</v>
      </c>
      <c r="I802" s="150" t="s">
        <v>955</v>
      </c>
      <c r="J802" s="151">
        <v>45612</v>
      </c>
      <c r="K802" s="135" t="s">
        <v>122</v>
      </c>
      <c r="L802" s="135">
        <v>281000261</v>
      </c>
      <c r="M802" s="151">
        <v>45613</v>
      </c>
      <c r="N802" s="152">
        <v>45613.03125</v>
      </c>
      <c r="O802" s="152">
        <v>45613.020833333336</v>
      </c>
      <c r="P802" s="152">
        <v>45613.045138888891</v>
      </c>
      <c r="Q802" s="152">
        <v>45613.229166666664</v>
      </c>
      <c r="R802" s="152">
        <v>45613.03125</v>
      </c>
      <c r="S802" s="152" t="s">
        <v>118</v>
      </c>
      <c r="T802" s="152">
        <v>45613.375</v>
      </c>
      <c r="U802" s="152">
        <v>45613.487500000003</v>
      </c>
      <c r="V802" s="219">
        <f t="shared" si="473"/>
        <v>0.20833333332848269</v>
      </c>
      <c r="W802" s="203">
        <v>0.20833333333333334</v>
      </c>
      <c r="X802" s="219" t="str">
        <f t="shared" si="474"/>
        <v>00:00</v>
      </c>
      <c r="Y802" s="96">
        <v>1</v>
      </c>
      <c r="Z802" s="96">
        <v>55</v>
      </c>
      <c r="AA802" s="96">
        <f t="shared" si="475"/>
        <v>56</v>
      </c>
      <c r="AB802" s="97">
        <f t="shared" si="476"/>
        <v>67.960178571428571</v>
      </c>
      <c r="AC802" s="97">
        <f t="shared" si="477"/>
        <v>3737.8098214285715</v>
      </c>
      <c r="AD802" s="98">
        <v>3805.77</v>
      </c>
      <c r="AE802" s="98">
        <v>3892.6</v>
      </c>
      <c r="AF802" s="98">
        <v>3894.2</v>
      </c>
      <c r="AG802" s="98">
        <f t="shared" si="478"/>
        <v>88.429999999999836</v>
      </c>
      <c r="AH802" s="99">
        <v>1435.6</v>
      </c>
      <c r="AI802" s="100">
        <f t="shared" si="479"/>
        <v>5590513.5199999996</v>
      </c>
      <c r="AJ802" s="100">
        <f>(0*AH802)*2</f>
        <v>0</v>
      </c>
      <c r="AK802" s="100">
        <v>0</v>
      </c>
      <c r="AL802" s="100">
        <v>0</v>
      </c>
      <c r="AM802" s="100">
        <v>0</v>
      </c>
      <c r="AN802" s="100">
        <v>0</v>
      </c>
      <c r="AO802" s="100">
        <v>0</v>
      </c>
      <c r="AP802" s="100">
        <f t="shared" si="471"/>
        <v>279526</v>
      </c>
      <c r="AQ802" s="101">
        <f t="shared" si="472"/>
        <v>5870040</v>
      </c>
      <c r="AR802" s="101">
        <v>0</v>
      </c>
      <c r="AS802" s="101">
        <v>0</v>
      </c>
      <c r="AT802" s="102" t="s">
        <v>33</v>
      </c>
      <c r="AU802" s="109" t="s">
        <v>118</v>
      </c>
      <c r="AV802" s="100">
        <v>0</v>
      </c>
      <c r="AW802" s="262">
        <v>0</v>
      </c>
      <c r="AX802" s="216">
        <f t="shared" si="480"/>
        <v>2.2708130039545948</v>
      </c>
      <c r="AY802" s="217">
        <f t="shared" si="481"/>
        <v>126951</v>
      </c>
      <c r="AZ802" s="107"/>
      <c r="BA802" s="94">
        <v>45613.03125</v>
      </c>
      <c r="BB802" s="94">
        <v>45613.045138888891</v>
      </c>
      <c r="BC802" s="94">
        <v>45613.045138888891</v>
      </c>
      <c r="BD802" s="94">
        <v>45613.175694444442</v>
      </c>
      <c r="BE802" s="95">
        <f t="shared" si="482"/>
        <v>0.1444444444423425</v>
      </c>
      <c r="BF802" s="95">
        <v>0</v>
      </c>
      <c r="BG802" s="95">
        <v>4.1666666666666666E-3</v>
      </c>
      <c r="BH802" s="95">
        <f t="shared" si="483"/>
        <v>1.3888888890505768E-2</v>
      </c>
      <c r="BI802" s="95">
        <f t="shared" si="483"/>
        <v>0</v>
      </c>
      <c r="BJ802" s="95">
        <f t="shared" si="483"/>
        <v>0.13055555555183673</v>
      </c>
      <c r="BK802" s="95">
        <f t="shared" si="484"/>
        <v>0.13055555555183673</v>
      </c>
      <c r="BL802" s="95">
        <f t="shared" si="485"/>
        <v>0.12638888888517005</v>
      </c>
      <c r="BM802" s="95" t="str">
        <f t="shared" si="486"/>
        <v>00:00</v>
      </c>
      <c r="BN802" s="110"/>
    </row>
    <row r="803" spans="1:66" s="8" customFormat="1" ht="12.75" customHeight="1" x14ac:dyDescent="0.25">
      <c r="A803" s="150">
        <v>733</v>
      </c>
      <c r="B803" s="150">
        <v>42</v>
      </c>
      <c r="C803" s="90">
        <v>7</v>
      </c>
      <c r="D803" s="111" t="s">
        <v>148</v>
      </c>
      <c r="E803" s="210" t="s">
        <v>950</v>
      </c>
      <c r="F803" s="150" t="s">
        <v>16</v>
      </c>
      <c r="G803" s="150" t="s">
        <v>17</v>
      </c>
      <c r="H803" s="150" t="s">
        <v>150</v>
      </c>
      <c r="I803" s="150" t="s">
        <v>266</v>
      </c>
      <c r="J803" s="151">
        <v>45613</v>
      </c>
      <c r="K803" s="135" t="s">
        <v>117</v>
      </c>
      <c r="L803" s="135">
        <v>461000553</v>
      </c>
      <c r="M803" s="151">
        <v>45613</v>
      </c>
      <c r="N803" s="152">
        <v>45613.371527777781</v>
      </c>
      <c r="O803" s="152">
        <v>45613.371527777781</v>
      </c>
      <c r="P803" s="152">
        <v>45613.375</v>
      </c>
      <c r="Q803" s="152">
        <v>45613.572916666664</v>
      </c>
      <c r="R803" s="152" t="s">
        <v>118</v>
      </c>
      <c r="S803" s="152" t="s">
        <v>118</v>
      </c>
      <c r="T803" s="152">
        <v>45613.604166666664</v>
      </c>
      <c r="U803" s="152">
        <v>45613.854166666664</v>
      </c>
      <c r="V803" s="219">
        <f t="shared" si="473"/>
        <v>0.20138888888322981</v>
      </c>
      <c r="W803" s="203">
        <v>0.20833333333333334</v>
      </c>
      <c r="X803" s="219" t="str">
        <f t="shared" si="474"/>
        <v>00:00</v>
      </c>
      <c r="Y803" s="96">
        <v>44</v>
      </c>
      <c r="Z803" s="96">
        <v>15</v>
      </c>
      <c r="AA803" s="96">
        <f t="shared" si="475"/>
        <v>59</v>
      </c>
      <c r="AB803" s="97">
        <f t="shared" si="476"/>
        <v>3061.2962711864402</v>
      </c>
      <c r="AC803" s="97">
        <f t="shared" si="477"/>
        <v>1043.6237288135592</v>
      </c>
      <c r="AD803" s="98">
        <v>4104.92</v>
      </c>
      <c r="AE803" s="98">
        <v>4099.1000000000004</v>
      </c>
      <c r="AF803" s="98">
        <v>4126.2</v>
      </c>
      <c r="AG803" s="98">
        <f t="shared" si="478"/>
        <v>21.279999999999745</v>
      </c>
      <c r="AH803" s="99">
        <v>672.5</v>
      </c>
      <c r="AI803" s="100">
        <f t="shared" si="479"/>
        <v>2774869.5</v>
      </c>
      <c r="AJ803" s="100">
        <f>(0*AH803)*2</f>
        <v>0</v>
      </c>
      <c r="AK803" s="100">
        <v>0</v>
      </c>
      <c r="AL803" s="100">
        <v>24290</v>
      </c>
      <c r="AM803" s="100">
        <v>0</v>
      </c>
      <c r="AN803" s="100">
        <v>0</v>
      </c>
      <c r="AO803" s="100">
        <v>0</v>
      </c>
      <c r="AP803" s="100">
        <f t="shared" si="471"/>
        <v>139958</v>
      </c>
      <c r="AQ803" s="101">
        <f t="shared" si="472"/>
        <v>2939118</v>
      </c>
      <c r="AR803" s="101">
        <v>0</v>
      </c>
      <c r="AS803" s="101">
        <v>0</v>
      </c>
      <c r="AT803" s="102" t="s">
        <v>33</v>
      </c>
      <c r="AU803" s="109">
        <v>16</v>
      </c>
      <c r="AV803" s="100">
        <f>40.01-23.51</f>
        <v>16.499999999999996</v>
      </c>
      <c r="AW803" s="262">
        <v>0</v>
      </c>
      <c r="AX803" s="216">
        <f t="shared" si="480"/>
        <v>0.51572875769472504</v>
      </c>
      <c r="AY803" s="217">
        <f t="shared" si="481"/>
        <v>14311</v>
      </c>
      <c r="AZ803" s="107"/>
      <c r="BA803" s="94">
        <v>45613.371527777781</v>
      </c>
      <c r="BB803" s="94">
        <v>45613.375</v>
      </c>
      <c r="BC803" s="94">
        <v>45613.465277777781</v>
      </c>
      <c r="BD803" s="94">
        <v>45613.5625</v>
      </c>
      <c r="BE803" s="95">
        <f t="shared" si="482"/>
        <v>0.19097222221898846</v>
      </c>
      <c r="BF803" s="95">
        <v>0</v>
      </c>
      <c r="BG803" s="95">
        <v>0.15486111111111112</v>
      </c>
      <c r="BH803" s="95">
        <f t="shared" si="483"/>
        <v>3.4722222189884633E-3</v>
      </c>
      <c r="BI803" s="95">
        <f t="shared" si="483"/>
        <v>9.0277777781011537E-2</v>
      </c>
      <c r="BJ803" s="95">
        <f t="shared" si="483"/>
        <v>9.7222222218988463E-2</v>
      </c>
      <c r="BK803" s="95">
        <f t="shared" si="484"/>
        <v>0.1875</v>
      </c>
      <c r="BL803" s="95">
        <f t="shared" si="485"/>
        <v>3.2638888888888884E-2</v>
      </c>
      <c r="BM803" s="95" t="str">
        <f t="shared" si="486"/>
        <v>00:00</v>
      </c>
      <c r="BN803" s="110"/>
    </row>
    <row r="804" spans="1:66" s="8" customFormat="1" ht="12.75" customHeight="1" x14ac:dyDescent="0.25">
      <c r="A804" s="150">
        <v>734</v>
      </c>
      <c r="B804" s="150">
        <v>43</v>
      </c>
      <c r="C804" s="90">
        <v>8</v>
      </c>
      <c r="D804" s="111" t="s">
        <v>148</v>
      </c>
      <c r="E804" s="210" t="s">
        <v>950</v>
      </c>
      <c r="F804" s="150" t="s">
        <v>16</v>
      </c>
      <c r="G804" s="150" t="s">
        <v>17</v>
      </c>
      <c r="H804" s="150" t="s">
        <v>150</v>
      </c>
      <c r="I804" s="150" t="s">
        <v>270</v>
      </c>
      <c r="J804" s="151">
        <v>45613</v>
      </c>
      <c r="K804" s="135" t="s">
        <v>122</v>
      </c>
      <c r="L804" s="135">
        <v>441000015</v>
      </c>
      <c r="M804" s="151">
        <v>45614</v>
      </c>
      <c r="N804" s="152">
        <v>45613.638888888891</v>
      </c>
      <c r="O804" s="152">
        <v>45613.638888888891</v>
      </c>
      <c r="P804" s="152">
        <v>45613.642361111109</v>
      </c>
      <c r="Q804" s="152">
        <v>45613.822916666664</v>
      </c>
      <c r="R804" s="152" t="s">
        <v>118</v>
      </c>
      <c r="S804" s="152" t="s">
        <v>118</v>
      </c>
      <c r="T804" s="152">
        <v>45613.895833333336</v>
      </c>
      <c r="U804" s="152">
        <v>45614.145833333336</v>
      </c>
      <c r="V804" s="219">
        <f t="shared" si="473"/>
        <v>0.18402777777373558</v>
      </c>
      <c r="W804" s="203">
        <v>0.20833333333333334</v>
      </c>
      <c r="X804" s="219" t="str">
        <f t="shared" si="474"/>
        <v>00:00</v>
      </c>
      <c r="Y804" s="96">
        <v>32</v>
      </c>
      <c r="Z804" s="96">
        <v>27</v>
      </c>
      <c r="AA804" s="96">
        <f t="shared" si="475"/>
        <v>59</v>
      </c>
      <c r="AB804" s="97">
        <f t="shared" si="476"/>
        <v>2226.8474576271187</v>
      </c>
      <c r="AC804" s="97">
        <f t="shared" si="477"/>
        <v>1878.9025423728815</v>
      </c>
      <c r="AD804" s="98">
        <v>4105.75</v>
      </c>
      <c r="AE804" s="98">
        <v>4095.2</v>
      </c>
      <c r="AF804" s="98">
        <v>4125.3999999999996</v>
      </c>
      <c r="AG804" s="98">
        <f t="shared" si="478"/>
        <v>19.649999999999636</v>
      </c>
      <c r="AH804" s="99">
        <v>672.5</v>
      </c>
      <c r="AI804" s="100">
        <f t="shared" si="479"/>
        <v>2774331.4999999995</v>
      </c>
      <c r="AJ804" s="100">
        <f>(0*AH804)*2</f>
        <v>0</v>
      </c>
      <c r="AK804" s="100">
        <v>0</v>
      </c>
      <c r="AL804" s="100">
        <v>24290</v>
      </c>
      <c r="AM804" s="100">
        <v>0</v>
      </c>
      <c r="AN804" s="100">
        <v>0</v>
      </c>
      <c r="AO804" s="100">
        <v>0</v>
      </c>
      <c r="AP804" s="100">
        <f t="shared" si="471"/>
        <v>139932</v>
      </c>
      <c r="AQ804" s="101">
        <f t="shared" si="472"/>
        <v>2938554</v>
      </c>
      <c r="AR804" s="101">
        <v>0</v>
      </c>
      <c r="AS804" s="101">
        <v>0</v>
      </c>
      <c r="AT804" s="102" t="s">
        <v>33</v>
      </c>
      <c r="AU804" s="109">
        <v>19</v>
      </c>
      <c r="AV804" s="100">
        <f>52.3-25.8</f>
        <v>26.499999999999996</v>
      </c>
      <c r="AW804" s="262">
        <v>0</v>
      </c>
      <c r="AX804" s="216">
        <f t="shared" si="480"/>
        <v>0.47631744800503312</v>
      </c>
      <c r="AY804" s="217">
        <f t="shared" si="481"/>
        <v>13215</v>
      </c>
      <c r="AZ804" s="107"/>
      <c r="BA804" s="94">
        <v>45613.638888888891</v>
      </c>
      <c r="BB804" s="94">
        <v>45613.642361111109</v>
      </c>
      <c r="BC804" s="94">
        <v>45613.666666666664</v>
      </c>
      <c r="BD804" s="94">
        <v>45613.75</v>
      </c>
      <c r="BE804" s="95">
        <f t="shared" si="482"/>
        <v>0.11111111110949423</v>
      </c>
      <c r="BF804" s="95">
        <v>1.7361111111111112E-2</v>
      </c>
      <c r="BG804" s="95">
        <v>3.0555555555555555E-2</v>
      </c>
      <c r="BH804" s="95">
        <f t="shared" si="483"/>
        <v>3.4722222189884633E-3</v>
      </c>
      <c r="BI804" s="95">
        <f t="shared" si="483"/>
        <v>2.4305555554747116E-2</v>
      </c>
      <c r="BJ804" s="95">
        <f t="shared" si="483"/>
        <v>8.3333333335758653E-2</v>
      </c>
      <c r="BK804" s="95">
        <f t="shared" si="484"/>
        <v>0.10763888889050577</v>
      </c>
      <c r="BL804" s="95">
        <f t="shared" si="485"/>
        <v>5.9722222223839105E-2</v>
      </c>
      <c r="BM804" s="95" t="str">
        <f t="shared" si="486"/>
        <v>00:00</v>
      </c>
      <c r="BN804" s="110"/>
    </row>
    <row r="805" spans="1:66" s="8" customFormat="1" ht="12.75" customHeight="1" x14ac:dyDescent="0.25">
      <c r="A805" s="150">
        <v>735</v>
      </c>
      <c r="B805" s="150">
        <v>44</v>
      </c>
      <c r="C805" s="90">
        <v>1</v>
      </c>
      <c r="D805" s="111" t="s">
        <v>113</v>
      </c>
      <c r="E805" s="210" t="s">
        <v>956</v>
      </c>
      <c r="F805" s="150" t="s">
        <v>41</v>
      </c>
      <c r="G805" s="150" t="s">
        <v>12</v>
      </c>
      <c r="H805" s="150" t="s">
        <v>115</v>
      </c>
      <c r="I805" s="150" t="s">
        <v>385</v>
      </c>
      <c r="J805" s="151">
        <v>45613</v>
      </c>
      <c r="K805" s="135" t="s">
        <v>117</v>
      </c>
      <c r="L805" s="135">
        <v>282001056</v>
      </c>
      <c r="M805" s="151">
        <v>45614</v>
      </c>
      <c r="N805" s="152">
        <v>45614.006944444445</v>
      </c>
      <c r="O805" s="152">
        <v>45614.006944444445</v>
      </c>
      <c r="P805" s="152">
        <v>45614.020833333336</v>
      </c>
      <c r="Q805" s="152">
        <v>45614.208333333336</v>
      </c>
      <c r="R805" s="152" t="s">
        <v>118</v>
      </c>
      <c r="S805" s="152" t="s">
        <v>118</v>
      </c>
      <c r="T805" s="152">
        <v>45614.333333333336</v>
      </c>
      <c r="U805" s="152">
        <v>45614.435416666667</v>
      </c>
      <c r="V805" s="219">
        <f t="shared" si="473"/>
        <v>0.20138888889050577</v>
      </c>
      <c r="W805" s="203">
        <v>0.20833333333333334</v>
      </c>
      <c r="X805" s="219" t="str">
        <f t="shared" si="474"/>
        <v>00:00</v>
      </c>
      <c r="Y805" s="96">
        <v>1</v>
      </c>
      <c r="Z805" s="96">
        <v>58</v>
      </c>
      <c r="AA805" s="96">
        <f t="shared" si="475"/>
        <v>59</v>
      </c>
      <c r="AB805" s="97">
        <f t="shared" si="476"/>
        <v>68.327966101694912</v>
      </c>
      <c r="AC805" s="97">
        <f t="shared" si="477"/>
        <v>3963.0220338983049</v>
      </c>
      <c r="AD805" s="98">
        <v>4031.35</v>
      </c>
      <c r="AE805" s="98">
        <v>4109.3</v>
      </c>
      <c r="AF805" s="98">
        <v>4115.3999999999996</v>
      </c>
      <c r="AG805" s="98">
        <f t="shared" si="478"/>
        <v>84.049999999999727</v>
      </c>
      <c r="AH805" s="99">
        <v>1586.7</v>
      </c>
      <c r="AI805" s="100">
        <f t="shared" si="479"/>
        <v>6529905.1799999997</v>
      </c>
      <c r="AJ805" s="100">
        <f>(0.4*AH805)*2</f>
        <v>1269.3600000000001</v>
      </c>
      <c r="AK805" s="100">
        <v>0</v>
      </c>
      <c r="AL805" s="100">
        <v>0</v>
      </c>
      <c r="AM805" s="100">
        <v>0</v>
      </c>
      <c r="AN805" s="100">
        <v>0</v>
      </c>
      <c r="AO805" s="100">
        <f>IFERROR(AF805*20+(((AJ805/AH805)/2)*20),0)</f>
        <v>82316</v>
      </c>
      <c r="AP805" s="100">
        <f t="shared" si="471"/>
        <v>330675</v>
      </c>
      <c r="AQ805" s="101">
        <f t="shared" si="472"/>
        <v>6944166</v>
      </c>
      <c r="AR805" s="101">
        <v>0</v>
      </c>
      <c r="AS805" s="101">
        <v>0</v>
      </c>
      <c r="AT805" s="102" t="s">
        <v>33</v>
      </c>
      <c r="AU805" s="109" t="s">
        <v>118</v>
      </c>
      <c r="AV805" s="100">
        <v>0</v>
      </c>
      <c r="AW805" s="262">
        <v>0</v>
      </c>
      <c r="AX805" s="216">
        <f t="shared" si="480"/>
        <v>2.0423288137240543</v>
      </c>
      <c r="AY805" s="217">
        <f t="shared" si="481"/>
        <v>133363</v>
      </c>
      <c r="AZ805" s="107"/>
      <c r="BA805" s="94">
        <v>45614.006944444445</v>
      </c>
      <c r="BB805" s="94">
        <v>45614.020833333336</v>
      </c>
      <c r="BC805" s="94">
        <v>45614.020833333336</v>
      </c>
      <c r="BD805" s="94">
        <v>45614.190972222219</v>
      </c>
      <c r="BE805" s="95">
        <f t="shared" si="482"/>
        <v>0.18402777777373558</v>
      </c>
      <c r="BF805" s="95">
        <v>0</v>
      </c>
      <c r="BG805" s="95">
        <v>3.6805555555555557E-2</v>
      </c>
      <c r="BH805" s="95">
        <f t="shared" si="483"/>
        <v>1.3888888890505768E-2</v>
      </c>
      <c r="BI805" s="95">
        <f t="shared" si="483"/>
        <v>0</v>
      </c>
      <c r="BJ805" s="95">
        <f t="shared" si="483"/>
        <v>0.17013888888322981</v>
      </c>
      <c r="BK805" s="95">
        <f t="shared" si="484"/>
        <v>0.17013888888322981</v>
      </c>
      <c r="BL805" s="95">
        <f t="shared" si="485"/>
        <v>0.13333333332767425</v>
      </c>
      <c r="BM805" s="95" t="str">
        <f t="shared" si="486"/>
        <v>00:00</v>
      </c>
      <c r="BN805" s="110"/>
    </row>
    <row r="806" spans="1:66" s="8" customFormat="1" ht="12.75" customHeight="1" x14ac:dyDescent="0.25">
      <c r="A806" s="150">
        <v>736</v>
      </c>
      <c r="B806" s="150">
        <v>45</v>
      </c>
      <c r="C806" s="90">
        <v>9</v>
      </c>
      <c r="D806" s="111" t="s">
        <v>148</v>
      </c>
      <c r="E806" s="210" t="s">
        <v>950</v>
      </c>
      <c r="F806" s="150" t="s">
        <v>16</v>
      </c>
      <c r="G806" s="150" t="s">
        <v>17</v>
      </c>
      <c r="H806" s="150" t="s">
        <v>150</v>
      </c>
      <c r="I806" s="150" t="s">
        <v>277</v>
      </c>
      <c r="J806" s="151">
        <v>45614</v>
      </c>
      <c r="K806" s="151" t="s">
        <v>122</v>
      </c>
      <c r="L806" s="135">
        <v>461000554</v>
      </c>
      <c r="M806" s="151">
        <v>45614</v>
      </c>
      <c r="N806" s="152">
        <v>45614.333333333336</v>
      </c>
      <c r="O806" s="152">
        <v>45614.333333333336</v>
      </c>
      <c r="P806" s="152">
        <v>45614.34375</v>
      </c>
      <c r="Q806" s="152">
        <v>45614.53125</v>
      </c>
      <c r="R806" s="152" t="s">
        <v>118</v>
      </c>
      <c r="S806" s="152" t="s">
        <v>118</v>
      </c>
      <c r="T806" s="152">
        <v>45614.583333333336</v>
      </c>
      <c r="U806" s="152">
        <v>45614.667361111111</v>
      </c>
      <c r="V806" s="219">
        <f t="shared" si="473"/>
        <v>0.19791666666424135</v>
      </c>
      <c r="W806" s="203">
        <v>0.20833333333333334</v>
      </c>
      <c r="X806" s="219" t="str">
        <f t="shared" si="474"/>
        <v>00:00</v>
      </c>
      <c r="Y806" s="96">
        <v>48</v>
      </c>
      <c r="Z806" s="96">
        <v>10</v>
      </c>
      <c r="AA806" s="96">
        <f t="shared" si="475"/>
        <v>58</v>
      </c>
      <c r="AB806" s="97">
        <f t="shared" si="476"/>
        <v>3292.1296551724135</v>
      </c>
      <c r="AC806" s="97">
        <f t="shared" si="477"/>
        <v>685.86034482758623</v>
      </c>
      <c r="AD806" s="98">
        <v>3977.99</v>
      </c>
      <c r="AE806" s="98">
        <v>4031.9</v>
      </c>
      <c r="AF806" s="98">
        <v>4035.6</v>
      </c>
      <c r="AG806" s="98">
        <f t="shared" si="478"/>
        <v>57.610000000000127</v>
      </c>
      <c r="AH806" s="99">
        <v>672.5</v>
      </c>
      <c r="AI806" s="100">
        <f t="shared" si="479"/>
        <v>2713941</v>
      </c>
      <c r="AJ806" s="100">
        <f>(0.2*AH806)*2</f>
        <v>269</v>
      </c>
      <c r="AK806" s="100">
        <v>0</v>
      </c>
      <c r="AL806" s="100">
        <v>0</v>
      </c>
      <c r="AM806" s="100">
        <v>0</v>
      </c>
      <c r="AN806" s="100">
        <v>0</v>
      </c>
      <c r="AO806" s="100">
        <v>0</v>
      </c>
      <c r="AP806" s="100">
        <f t="shared" si="471"/>
        <v>135711</v>
      </c>
      <c r="AQ806" s="101">
        <f t="shared" si="472"/>
        <v>2849921</v>
      </c>
      <c r="AR806" s="101">
        <v>0</v>
      </c>
      <c r="AS806" s="101">
        <v>0</v>
      </c>
      <c r="AT806" s="102" t="s">
        <v>33</v>
      </c>
      <c r="AU806" s="109" t="s">
        <v>118</v>
      </c>
      <c r="AV806" s="100">
        <v>0</v>
      </c>
      <c r="AW806" s="262">
        <v>0</v>
      </c>
      <c r="AX806" s="216">
        <f t="shared" si="480"/>
        <v>1.4275448508276372</v>
      </c>
      <c r="AY806" s="217">
        <f t="shared" si="481"/>
        <v>38743</v>
      </c>
      <c r="AZ806" s="107"/>
      <c r="BA806" s="94">
        <v>45614.333333333336</v>
      </c>
      <c r="BB806" s="94">
        <v>45614.34375</v>
      </c>
      <c r="BC806" s="94">
        <v>45614.350694444445</v>
      </c>
      <c r="BD806" s="94">
        <v>45614.53125</v>
      </c>
      <c r="BE806" s="95">
        <f t="shared" si="482"/>
        <v>0.19791666666424135</v>
      </c>
      <c r="BF806" s="95">
        <v>0</v>
      </c>
      <c r="BG806" s="95">
        <v>0.16388888888888889</v>
      </c>
      <c r="BH806" s="95">
        <f t="shared" si="483"/>
        <v>1.0416666664241347E-2</v>
      </c>
      <c r="BI806" s="95">
        <f t="shared" si="483"/>
        <v>6.9444444452528842E-3</v>
      </c>
      <c r="BJ806" s="95">
        <f t="shared" si="483"/>
        <v>0.18055555555474712</v>
      </c>
      <c r="BK806" s="95">
        <f t="shared" si="484"/>
        <v>0.1875</v>
      </c>
      <c r="BL806" s="95">
        <f t="shared" si="485"/>
        <v>2.361111111111111E-2</v>
      </c>
      <c r="BM806" s="95" t="str">
        <f t="shared" si="486"/>
        <v>00:00</v>
      </c>
      <c r="BN806" s="110"/>
    </row>
    <row r="807" spans="1:66" s="8" customFormat="1" ht="12.75" customHeight="1" x14ac:dyDescent="0.25">
      <c r="A807" s="150">
        <v>737</v>
      </c>
      <c r="B807" s="150">
        <v>46</v>
      </c>
      <c r="C807" s="90">
        <v>10</v>
      </c>
      <c r="D807" s="111" t="s">
        <v>148</v>
      </c>
      <c r="E807" s="210" t="s">
        <v>950</v>
      </c>
      <c r="F807" s="150" t="s">
        <v>16</v>
      </c>
      <c r="G807" s="150" t="s">
        <v>17</v>
      </c>
      <c r="H807" s="150" t="s">
        <v>150</v>
      </c>
      <c r="I807" s="150" t="s">
        <v>283</v>
      </c>
      <c r="J807" s="151">
        <v>45614</v>
      </c>
      <c r="K807" s="135" t="s">
        <v>117</v>
      </c>
      <c r="L807" s="135">
        <v>461000555</v>
      </c>
      <c r="M807" s="151">
        <v>45615</v>
      </c>
      <c r="N807" s="152">
        <v>45614.618055555555</v>
      </c>
      <c r="O807" s="152">
        <v>45614.618055555555</v>
      </c>
      <c r="P807" s="152">
        <v>45614.621527777781</v>
      </c>
      <c r="Q807" s="152">
        <v>45614.8125</v>
      </c>
      <c r="R807" s="152" t="s">
        <v>118</v>
      </c>
      <c r="S807" s="152" t="s">
        <v>118</v>
      </c>
      <c r="T807" s="152">
        <v>45614.965277777781</v>
      </c>
      <c r="U807" s="152">
        <v>45615.095138888886</v>
      </c>
      <c r="V807" s="219">
        <f t="shared" si="473"/>
        <v>0.19444444444525288</v>
      </c>
      <c r="W807" s="203">
        <v>0.20833333333333334</v>
      </c>
      <c r="X807" s="219" t="str">
        <f t="shared" si="474"/>
        <v>00:00</v>
      </c>
      <c r="Y807" s="96">
        <v>58</v>
      </c>
      <c r="Z807" s="96">
        <v>0</v>
      </c>
      <c r="AA807" s="96">
        <f t="shared" si="475"/>
        <v>58</v>
      </c>
      <c r="AB807" s="97">
        <f t="shared" si="476"/>
        <v>3926.3600000000006</v>
      </c>
      <c r="AC807" s="97">
        <f t="shared" si="477"/>
        <v>0</v>
      </c>
      <c r="AD807" s="98">
        <v>3926.36</v>
      </c>
      <c r="AE807" s="98">
        <v>4030.3</v>
      </c>
      <c r="AF807" s="98">
        <v>4033.2</v>
      </c>
      <c r="AG807" s="98">
        <f t="shared" si="478"/>
        <v>106.83999999999969</v>
      </c>
      <c r="AH807" s="99">
        <v>672.5</v>
      </c>
      <c r="AI807" s="100">
        <f t="shared" si="479"/>
        <v>2712327</v>
      </c>
      <c r="AJ807" s="100">
        <f t="shared" ref="AJ807:AJ829" si="487">(0*AH807)*2</f>
        <v>0</v>
      </c>
      <c r="AK807" s="100">
        <v>0</v>
      </c>
      <c r="AL807" s="100">
        <v>0</v>
      </c>
      <c r="AM807" s="100">
        <v>0</v>
      </c>
      <c r="AN807" s="100">
        <v>0</v>
      </c>
      <c r="AO807" s="100">
        <v>0</v>
      </c>
      <c r="AP807" s="100">
        <f t="shared" si="471"/>
        <v>135617</v>
      </c>
      <c r="AQ807" s="101">
        <f t="shared" si="472"/>
        <v>2847944</v>
      </c>
      <c r="AR807" s="101">
        <v>0</v>
      </c>
      <c r="AS807" s="101">
        <v>0</v>
      </c>
      <c r="AT807" s="102" t="s">
        <v>33</v>
      </c>
      <c r="AU807" s="109" t="s">
        <v>118</v>
      </c>
      <c r="AV807" s="100">
        <v>0</v>
      </c>
      <c r="AW807" s="262">
        <v>0</v>
      </c>
      <c r="AX807" s="216">
        <f t="shared" si="480"/>
        <v>2.6490131905186876</v>
      </c>
      <c r="AY807" s="217">
        <f t="shared" si="481"/>
        <v>71850</v>
      </c>
      <c r="AZ807" s="107"/>
      <c r="BA807" s="94"/>
      <c r="BB807" s="94"/>
      <c r="BC807" s="94"/>
      <c r="BD807" s="94"/>
      <c r="BE807" s="95"/>
      <c r="BF807" s="95"/>
      <c r="BG807" s="95"/>
      <c r="BH807" s="95"/>
      <c r="BI807" s="95"/>
      <c r="BJ807" s="95"/>
      <c r="BK807" s="95"/>
      <c r="BL807" s="95"/>
      <c r="BM807" s="95"/>
      <c r="BN807" s="110" t="s">
        <v>957</v>
      </c>
    </row>
    <row r="808" spans="1:66" s="8" customFormat="1" ht="12.75" customHeight="1" x14ac:dyDescent="0.25">
      <c r="A808" s="150">
        <v>738</v>
      </c>
      <c r="B808" s="150">
        <v>47</v>
      </c>
      <c r="C808" s="90">
        <v>11</v>
      </c>
      <c r="D808" s="111" t="s">
        <v>148</v>
      </c>
      <c r="E808" s="210" t="s">
        <v>950</v>
      </c>
      <c r="F808" s="150" t="s">
        <v>16</v>
      </c>
      <c r="G808" s="150" t="s">
        <v>17</v>
      </c>
      <c r="H808" s="150" t="s">
        <v>150</v>
      </c>
      <c r="I808" s="150" t="s">
        <v>284</v>
      </c>
      <c r="J808" s="151">
        <v>45614</v>
      </c>
      <c r="K808" s="135" t="s">
        <v>122</v>
      </c>
      <c r="L808" s="135">
        <v>441000016</v>
      </c>
      <c r="M808" s="151">
        <v>45615</v>
      </c>
      <c r="N808" s="152">
        <v>45615.020833333336</v>
      </c>
      <c r="O808" s="152">
        <v>45615.020833333336</v>
      </c>
      <c r="P808" s="152">
        <v>45615.03125</v>
      </c>
      <c r="Q808" s="152">
        <v>45615.229166666664</v>
      </c>
      <c r="R808" s="152" t="s">
        <v>118</v>
      </c>
      <c r="S808" s="152" t="s">
        <v>118</v>
      </c>
      <c r="T808" s="152">
        <v>45615.302083333336</v>
      </c>
      <c r="U808" s="152">
        <v>45615.436805555553</v>
      </c>
      <c r="V808" s="219">
        <f t="shared" si="473"/>
        <v>0.20833333332848269</v>
      </c>
      <c r="W808" s="203">
        <v>0.20833333333333334</v>
      </c>
      <c r="X808" s="219" t="str">
        <f t="shared" si="474"/>
        <v>00:00</v>
      </c>
      <c r="Y808" s="96">
        <v>48</v>
      </c>
      <c r="Z808" s="96">
        <v>10</v>
      </c>
      <c r="AA808" s="96">
        <f t="shared" si="475"/>
        <v>58</v>
      </c>
      <c r="AB808" s="97">
        <f t="shared" si="476"/>
        <v>3147.7986206896549</v>
      </c>
      <c r="AC808" s="97">
        <f t="shared" si="477"/>
        <v>655.79137931034484</v>
      </c>
      <c r="AD808" s="98">
        <v>3803.59</v>
      </c>
      <c r="AE808" s="98">
        <v>4033.1</v>
      </c>
      <c r="AF808" s="98">
        <v>4033.4</v>
      </c>
      <c r="AG808" s="98">
        <f t="shared" si="478"/>
        <v>229.80999999999995</v>
      </c>
      <c r="AH808" s="99">
        <v>672.5</v>
      </c>
      <c r="AI808" s="100">
        <f t="shared" si="479"/>
        <v>2712461.5</v>
      </c>
      <c r="AJ808" s="100">
        <f t="shared" si="487"/>
        <v>0</v>
      </c>
      <c r="AK808" s="100">
        <v>0</v>
      </c>
      <c r="AL808" s="100">
        <v>0</v>
      </c>
      <c r="AM808" s="100">
        <v>0</v>
      </c>
      <c r="AN808" s="100">
        <v>0</v>
      </c>
      <c r="AO808" s="100">
        <v>0</v>
      </c>
      <c r="AP808" s="100">
        <f t="shared" si="471"/>
        <v>135624</v>
      </c>
      <c r="AQ808" s="101">
        <f t="shared" si="472"/>
        <v>2848086</v>
      </c>
      <c r="AR808" s="101">
        <v>0</v>
      </c>
      <c r="AS808" s="101">
        <v>0</v>
      </c>
      <c r="AT808" s="102" t="s">
        <v>33</v>
      </c>
      <c r="AU808" s="109" t="s">
        <v>118</v>
      </c>
      <c r="AV808" s="100">
        <v>0</v>
      </c>
      <c r="AW808" s="262">
        <v>0</v>
      </c>
      <c r="AX808" s="216">
        <f t="shared" si="480"/>
        <v>5.6976744186046497</v>
      </c>
      <c r="AY808" s="217">
        <f t="shared" si="481"/>
        <v>154548</v>
      </c>
      <c r="AZ808" s="107"/>
      <c r="BA808" s="94">
        <v>45615.020833333336</v>
      </c>
      <c r="BB808" s="94">
        <v>45615.03125</v>
      </c>
      <c r="BC808" s="94">
        <v>45615.03125</v>
      </c>
      <c r="BD808" s="94">
        <v>45615.225694444445</v>
      </c>
      <c r="BE808" s="95">
        <f t="shared" ref="BE808:BE820" si="488">+BD808-BA808</f>
        <v>0.20486111110949423</v>
      </c>
      <c r="BF808" s="95">
        <v>0</v>
      </c>
      <c r="BG808" s="95">
        <v>0.16666666666666666</v>
      </c>
      <c r="BH808" s="95">
        <f t="shared" ref="BH808:BJ820" si="489">+BB808-BA808</f>
        <v>1.0416666664241347E-2</v>
      </c>
      <c r="BI808" s="95">
        <f t="shared" si="489"/>
        <v>0</v>
      </c>
      <c r="BJ808" s="95">
        <f t="shared" si="489"/>
        <v>0.19444444444525288</v>
      </c>
      <c r="BK808" s="95">
        <f t="shared" ref="BK808:BK820" si="490">+BI808+BJ808</f>
        <v>0.19444444444525288</v>
      </c>
      <c r="BL808" s="95">
        <f t="shared" ref="BL808:BL820" si="491">+BE808-BH808-BF808-BG808</f>
        <v>2.7777777778586227E-2</v>
      </c>
      <c r="BM808" s="95" t="str">
        <f t="shared" ref="BM808:BM820" si="492">IF(VALUE(BE808)&lt;=VALUE("05:00"),"00:00",VALUE(BE808)-VALUE("05:00"))</f>
        <v>00:00</v>
      </c>
      <c r="BN808" s="110"/>
    </row>
    <row r="809" spans="1:66" s="8" customFormat="1" ht="12.75" customHeight="1" x14ac:dyDescent="0.25">
      <c r="A809" s="150">
        <v>739</v>
      </c>
      <c r="B809" s="150">
        <v>48</v>
      </c>
      <c r="C809" s="90">
        <v>8</v>
      </c>
      <c r="D809" s="111" t="s">
        <v>113</v>
      </c>
      <c r="E809" s="210" t="s">
        <v>940</v>
      </c>
      <c r="F809" s="150" t="s">
        <v>29</v>
      </c>
      <c r="G809" s="150" t="s">
        <v>15</v>
      </c>
      <c r="H809" s="150" t="s">
        <v>124</v>
      </c>
      <c r="I809" s="150" t="s">
        <v>958</v>
      </c>
      <c r="J809" s="151">
        <v>45615</v>
      </c>
      <c r="K809" s="135" t="s">
        <v>117</v>
      </c>
      <c r="L809" s="135">
        <v>461000556</v>
      </c>
      <c r="M809" s="151">
        <v>45615</v>
      </c>
      <c r="N809" s="152">
        <v>45615.611111111109</v>
      </c>
      <c r="O809" s="152">
        <v>45615.583333333336</v>
      </c>
      <c r="P809" s="152">
        <v>45615.628472222219</v>
      </c>
      <c r="Q809" s="152">
        <v>45615.791666666664</v>
      </c>
      <c r="R809" s="152">
        <v>45615.611111111109</v>
      </c>
      <c r="S809" s="152" t="s">
        <v>118</v>
      </c>
      <c r="T809" s="152">
        <v>45615.822916666664</v>
      </c>
      <c r="U809" s="152">
        <v>45615.972222222219</v>
      </c>
      <c r="V809" s="219">
        <f t="shared" si="473"/>
        <v>0.20833333332848269</v>
      </c>
      <c r="W809" s="203">
        <v>0.20833333333333334</v>
      </c>
      <c r="X809" s="219" t="str">
        <f t="shared" si="474"/>
        <v>00:00</v>
      </c>
      <c r="Y809" s="96">
        <v>3</v>
      </c>
      <c r="Z809" s="96">
        <v>55</v>
      </c>
      <c r="AA809" s="96">
        <f t="shared" si="475"/>
        <v>58</v>
      </c>
      <c r="AB809" s="97">
        <f t="shared" si="476"/>
        <v>202.08568965517239</v>
      </c>
      <c r="AC809" s="97">
        <f t="shared" si="477"/>
        <v>3704.9043103448271</v>
      </c>
      <c r="AD809" s="98">
        <v>3906.99</v>
      </c>
      <c r="AE809" s="98">
        <v>4016</v>
      </c>
      <c r="AF809" s="98">
        <v>4021</v>
      </c>
      <c r="AG809" s="98">
        <f t="shared" si="478"/>
        <v>114.01000000000022</v>
      </c>
      <c r="AH809" s="99">
        <v>797.2</v>
      </c>
      <c r="AI809" s="100">
        <f t="shared" si="479"/>
        <v>3205541.2</v>
      </c>
      <c r="AJ809" s="100">
        <f t="shared" si="487"/>
        <v>0</v>
      </c>
      <c r="AK809" s="100">
        <v>0</v>
      </c>
      <c r="AL809" s="100">
        <v>24140</v>
      </c>
      <c r="AM809" s="100">
        <v>0</v>
      </c>
      <c r="AN809" s="100">
        <v>0</v>
      </c>
      <c r="AO809" s="100">
        <v>0</v>
      </c>
      <c r="AP809" s="100">
        <f t="shared" si="471"/>
        <v>161485</v>
      </c>
      <c r="AQ809" s="101">
        <f t="shared" si="472"/>
        <v>3391167</v>
      </c>
      <c r="AR809" s="101">
        <v>0</v>
      </c>
      <c r="AS809" s="101">
        <v>0</v>
      </c>
      <c r="AT809" s="102" t="s">
        <v>33</v>
      </c>
      <c r="AU809" s="109">
        <v>1</v>
      </c>
      <c r="AV809" s="100">
        <f>6-5</f>
        <v>1</v>
      </c>
      <c r="AW809" s="262">
        <v>0</v>
      </c>
      <c r="AX809" s="216">
        <f t="shared" si="480"/>
        <v>2.8353643372295503</v>
      </c>
      <c r="AY809" s="217">
        <f t="shared" si="481"/>
        <v>90889</v>
      </c>
      <c r="AZ809" s="107"/>
      <c r="BA809" s="94">
        <v>45615.611111111109</v>
      </c>
      <c r="BB809" s="94">
        <v>45615.628472222219</v>
      </c>
      <c r="BC809" s="94">
        <v>45615.631944444445</v>
      </c>
      <c r="BD809" s="94">
        <v>45615.811805555553</v>
      </c>
      <c r="BE809" s="95">
        <f t="shared" si="488"/>
        <v>0.20069444444379769</v>
      </c>
      <c r="BF809" s="95">
        <v>0</v>
      </c>
      <c r="BG809" s="95">
        <v>6.3194444444444442E-2</v>
      </c>
      <c r="BH809" s="95">
        <f t="shared" si="489"/>
        <v>1.7361111109494232E-2</v>
      </c>
      <c r="BI809" s="95">
        <f t="shared" si="489"/>
        <v>3.4722222262644209E-3</v>
      </c>
      <c r="BJ809" s="95">
        <f t="shared" si="489"/>
        <v>0.17986111110803904</v>
      </c>
      <c r="BK809" s="95">
        <f t="shared" si="490"/>
        <v>0.18333333333430346</v>
      </c>
      <c r="BL809" s="95">
        <f t="shared" si="491"/>
        <v>0.12013888888985902</v>
      </c>
      <c r="BM809" s="95" t="str">
        <f t="shared" si="492"/>
        <v>00:00</v>
      </c>
      <c r="BN809" s="110"/>
    </row>
    <row r="810" spans="1:66" s="8" customFormat="1" ht="12.75" customHeight="1" x14ac:dyDescent="0.25">
      <c r="A810" s="150">
        <v>740</v>
      </c>
      <c r="B810" s="150">
        <v>49</v>
      </c>
      <c r="C810" s="90">
        <v>12</v>
      </c>
      <c r="D810" s="111" t="s">
        <v>148</v>
      </c>
      <c r="E810" s="210" t="s">
        <v>950</v>
      </c>
      <c r="F810" s="150" t="s">
        <v>16</v>
      </c>
      <c r="G810" s="150" t="s">
        <v>17</v>
      </c>
      <c r="H810" s="150" t="s">
        <v>150</v>
      </c>
      <c r="I810" s="150" t="s">
        <v>285</v>
      </c>
      <c r="J810" s="151">
        <v>45615</v>
      </c>
      <c r="K810" s="135" t="s">
        <v>122</v>
      </c>
      <c r="L810" s="135">
        <v>461000557</v>
      </c>
      <c r="M810" s="151">
        <v>45616</v>
      </c>
      <c r="N810" s="152">
        <v>45615.791666666664</v>
      </c>
      <c r="O810" s="152">
        <v>45615.791666666664</v>
      </c>
      <c r="P810" s="152">
        <v>45615.822916666664</v>
      </c>
      <c r="Q810" s="152">
        <v>45615.979166666664</v>
      </c>
      <c r="R810" s="152" t="s">
        <v>118</v>
      </c>
      <c r="S810" s="152" t="s">
        <v>118</v>
      </c>
      <c r="T810" s="152">
        <v>45616.104166666664</v>
      </c>
      <c r="U810" s="152">
        <v>45616.138888888891</v>
      </c>
      <c r="V810" s="219">
        <f t="shared" si="473"/>
        <v>0.1875</v>
      </c>
      <c r="W810" s="203">
        <v>0.20833333333333334</v>
      </c>
      <c r="X810" s="219" t="str">
        <f t="shared" si="474"/>
        <v>00:00</v>
      </c>
      <c r="Y810" s="96">
        <v>1</v>
      </c>
      <c r="Z810" s="96">
        <v>57</v>
      </c>
      <c r="AA810" s="96">
        <f t="shared" si="475"/>
        <v>58</v>
      </c>
      <c r="AB810" s="97">
        <f t="shared" si="476"/>
        <v>69.132758620689657</v>
      </c>
      <c r="AC810" s="97">
        <f t="shared" si="477"/>
        <v>3940.5672413793104</v>
      </c>
      <c r="AD810" s="98">
        <v>4009.7</v>
      </c>
      <c r="AE810" s="98">
        <v>4060</v>
      </c>
      <c r="AF810" s="98">
        <v>4074.2</v>
      </c>
      <c r="AG810" s="98">
        <f t="shared" si="478"/>
        <v>64.5</v>
      </c>
      <c r="AH810" s="99">
        <v>672.5</v>
      </c>
      <c r="AI810" s="100">
        <f t="shared" si="479"/>
        <v>2739899.5</v>
      </c>
      <c r="AJ810" s="100">
        <f t="shared" si="487"/>
        <v>0</v>
      </c>
      <c r="AK810" s="100">
        <v>0</v>
      </c>
      <c r="AL810" s="100">
        <v>24140</v>
      </c>
      <c r="AM810" s="100">
        <v>0</v>
      </c>
      <c r="AN810" s="100">
        <v>0</v>
      </c>
      <c r="AO810" s="100">
        <v>0</v>
      </c>
      <c r="AP810" s="100">
        <f t="shared" si="471"/>
        <v>138202</v>
      </c>
      <c r="AQ810" s="101">
        <f t="shared" si="472"/>
        <v>2902242</v>
      </c>
      <c r="AR810" s="101">
        <v>0</v>
      </c>
      <c r="AS810" s="101">
        <v>0</v>
      </c>
      <c r="AT810" s="102" t="s">
        <v>33</v>
      </c>
      <c r="AU810" s="109">
        <v>8</v>
      </c>
      <c r="AV810" s="100">
        <f>18.2-11.7</f>
        <v>6.5</v>
      </c>
      <c r="AW810" s="262">
        <v>0</v>
      </c>
      <c r="AX810" s="216">
        <f t="shared" si="480"/>
        <v>1.5831328849835551</v>
      </c>
      <c r="AY810" s="217">
        <f t="shared" si="481"/>
        <v>43377</v>
      </c>
      <c r="AZ810" s="107"/>
      <c r="BA810" s="94">
        <v>45615.791666666664</v>
      </c>
      <c r="BB810" s="94">
        <v>45615.822916666664</v>
      </c>
      <c r="BC810" s="94">
        <v>45615.828472222223</v>
      </c>
      <c r="BD810" s="94">
        <v>45615.978472222225</v>
      </c>
      <c r="BE810" s="95">
        <f t="shared" si="488"/>
        <v>0.18680555556056788</v>
      </c>
      <c r="BF810" s="95">
        <v>2.361111111111111E-2</v>
      </c>
      <c r="BG810" s="95">
        <v>0</v>
      </c>
      <c r="BH810" s="95">
        <f t="shared" si="489"/>
        <v>3.125E-2</v>
      </c>
      <c r="BI810" s="95">
        <f t="shared" si="489"/>
        <v>5.5555555591126904E-3</v>
      </c>
      <c r="BJ810" s="95">
        <f t="shared" si="489"/>
        <v>0.15000000000145519</v>
      </c>
      <c r="BK810" s="95">
        <f t="shared" si="490"/>
        <v>0.15555555556056788</v>
      </c>
      <c r="BL810" s="95">
        <f t="shared" si="491"/>
        <v>0.13194444444945677</v>
      </c>
      <c r="BM810" s="95" t="str">
        <f t="shared" si="492"/>
        <v>00:00</v>
      </c>
      <c r="BN810" s="110"/>
    </row>
    <row r="811" spans="1:66" s="8" customFormat="1" ht="12.75" customHeight="1" x14ac:dyDescent="0.25">
      <c r="A811" s="150">
        <v>741</v>
      </c>
      <c r="B811" s="150">
        <v>50</v>
      </c>
      <c r="C811" s="90">
        <v>26</v>
      </c>
      <c r="D811" s="111" t="s">
        <v>113</v>
      </c>
      <c r="E811" s="210" t="s">
        <v>863</v>
      </c>
      <c r="F811" s="150" t="s">
        <v>32</v>
      </c>
      <c r="G811" s="150" t="s">
        <v>8</v>
      </c>
      <c r="H811" s="150" t="s">
        <v>779</v>
      </c>
      <c r="I811" s="150" t="s">
        <v>959</v>
      </c>
      <c r="J811" s="151">
        <v>45616</v>
      </c>
      <c r="K811" s="135" t="s">
        <v>117</v>
      </c>
      <c r="L811" s="135">
        <v>281000262</v>
      </c>
      <c r="M811" s="151">
        <v>45616</v>
      </c>
      <c r="N811" s="152">
        <v>45616.034722222219</v>
      </c>
      <c r="O811" s="152">
        <v>45616.034722222219</v>
      </c>
      <c r="P811" s="152">
        <v>45616.041666666664</v>
      </c>
      <c r="Q811" s="152">
        <v>45616.229166666664</v>
      </c>
      <c r="R811" s="152" t="s">
        <v>118</v>
      </c>
      <c r="S811" s="152" t="s">
        <v>118</v>
      </c>
      <c r="T811" s="152">
        <v>45616.291666666664</v>
      </c>
      <c r="U811" s="152">
        <v>45616.427083333336</v>
      </c>
      <c r="V811" s="219">
        <f t="shared" si="473"/>
        <v>0.19444444444525288</v>
      </c>
      <c r="W811" s="203">
        <v>0.20833333333333334</v>
      </c>
      <c r="X811" s="219" t="str">
        <f t="shared" si="474"/>
        <v>00:00</v>
      </c>
      <c r="Y811" s="96">
        <v>1</v>
      </c>
      <c r="Z811" s="96">
        <v>58</v>
      </c>
      <c r="AA811" s="96">
        <f t="shared" si="475"/>
        <v>59</v>
      </c>
      <c r="AB811" s="97">
        <f t="shared" si="476"/>
        <v>68.571525423728815</v>
      </c>
      <c r="AC811" s="97">
        <f t="shared" si="477"/>
        <v>3977.1484745762714</v>
      </c>
      <c r="AD811" s="98">
        <v>4045.72</v>
      </c>
      <c r="AE811" s="98">
        <v>4085.2</v>
      </c>
      <c r="AF811" s="98">
        <v>4098.6000000000004</v>
      </c>
      <c r="AG811" s="98">
        <f t="shared" si="478"/>
        <v>52.880000000000564</v>
      </c>
      <c r="AH811" s="99">
        <v>1435.6</v>
      </c>
      <c r="AI811" s="100">
        <f t="shared" si="479"/>
        <v>5883950.1600000001</v>
      </c>
      <c r="AJ811" s="100">
        <f t="shared" si="487"/>
        <v>0</v>
      </c>
      <c r="AK811" s="100">
        <v>0</v>
      </c>
      <c r="AL811" s="100">
        <v>24290</v>
      </c>
      <c r="AM811" s="100">
        <v>0</v>
      </c>
      <c r="AN811" s="100">
        <v>0</v>
      </c>
      <c r="AO811" s="100">
        <v>0</v>
      </c>
      <c r="AP811" s="100">
        <f t="shared" si="471"/>
        <v>295413</v>
      </c>
      <c r="AQ811" s="101">
        <f t="shared" si="472"/>
        <v>6203654</v>
      </c>
      <c r="AR811" s="101">
        <v>0</v>
      </c>
      <c r="AS811" s="101">
        <v>0</v>
      </c>
      <c r="AT811" s="102" t="s">
        <v>33</v>
      </c>
      <c r="AU811" s="109">
        <v>5</v>
      </c>
      <c r="AV811" s="100">
        <f>15.72-12.24</f>
        <v>3.4800000000000004</v>
      </c>
      <c r="AW811" s="262">
        <v>0</v>
      </c>
      <c r="AX811" s="216">
        <f t="shared" si="480"/>
        <v>1.2901966525155069</v>
      </c>
      <c r="AY811" s="217">
        <f t="shared" si="481"/>
        <v>75915</v>
      </c>
      <c r="AZ811" s="107"/>
      <c r="BA811" s="94">
        <v>45616.034722222219</v>
      </c>
      <c r="BB811" s="94">
        <v>45616.041666666664</v>
      </c>
      <c r="BC811" s="94">
        <v>45616.041666666664</v>
      </c>
      <c r="BD811" s="94">
        <v>45616.171527777777</v>
      </c>
      <c r="BE811" s="95">
        <f t="shared" si="488"/>
        <v>0.1368055555576575</v>
      </c>
      <c r="BF811" s="95">
        <v>0</v>
      </c>
      <c r="BG811" s="95">
        <v>0</v>
      </c>
      <c r="BH811" s="95">
        <f t="shared" si="489"/>
        <v>6.9444444452528842E-3</v>
      </c>
      <c r="BI811" s="95">
        <f t="shared" si="489"/>
        <v>0</v>
      </c>
      <c r="BJ811" s="95">
        <f t="shared" si="489"/>
        <v>0.12986111111240461</v>
      </c>
      <c r="BK811" s="95">
        <f t="shared" si="490"/>
        <v>0.12986111111240461</v>
      </c>
      <c r="BL811" s="95">
        <f t="shared" si="491"/>
        <v>0.12986111111240461</v>
      </c>
      <c r="BM811" s="95" t="str">
        <f t="shared" si="492"/>
        <v>00:00</v>
      </c>
      <c r="BN811" s="110"/>
    </row>
    <row r="812" spans="1:66" s="8" customFormat="1" ht="12.75" customHeight="1" x14ac:dyDescent="0.25">
      <c r="A812" s="150">
        <v>742</v>
      </c>
      <c r="B812" s="150">
        <v>51</v>
      </c>
      <c r="C812" s="90">
        <v>13</v>
      </c>
      <c r="D812" s="111" t="s">
        <v>148</v>
      </c>
      <c r="E812" s="210" t="s">
        <v>950</v>
      </c>
      <c r="F812" s="150" t="s">
        <v>16</v>
      </c>
      <c r="G812" s="150" t="s">
        <v>17</v>
      </c>
      <c r="H812" s="150" t="s">
        <v>150</v>
      </c>
      <c r="I812" s="150" t="s">
        <v>288</v>
      </c>
      <c r="J812" s="151">
        <v>45616</v>
      </c>
      <c r="K812" s="135" t="s">
        <v>122</v>
      </c>
      <c r="L812" s="135">
        <v>461000558</v>
      </c>
      <c r="M812" s="151">
        <v>45616</v>
      </c>
      <c r="N812" s="152">
        <v>45616.333333333336</v>
      </c>
      <c r="O812" s="152">
        <v>45616.333333333336</v>
      </c>
      <c r="P812" s="152">
        <v>45616.340277777781</v>
      </c>
      <c r="Q812" s="152">
        <v>45616.520833333336</v>
      </c>
      <c r="R812" s="152" t="s">
        <v>118</v>
      </c>
      <c r="S812" s="152" t="s">
        <v>118</v>
      </c>
      <c r="T812" s="152">
        <v>45616.5625</v>
      </c>
      <c r="U812" s="152">
        <v>45616.715277777781</v>
      </c>
      <c r="V812" s="219">
        <f t="shared" si="473"/>
        <v>0.1875</v>
      </c>
      <c r="W812" s="203">
        <v>0.20833333333333334</v>
      </c>
      <c r="X812" s="219" t="str">
        <f t="shared" si="474"/>
        <v>00:00</v>
      </c>
      <c r="Y812" s="96">
        <v>1</v>
      </c>
      <c r="Z812" s="96">
        <v>58</v>
      </c>
      <c r="AA812" s="96">
        <f t="shared" si="475"/>
        <v>59</v>
      </c>
      <c r="AB812" s="97">
        <f t="shared" si="476"/>
        <v>69.953559322033897</v>
      </c>
      <c r="AC812" s="97">
        <f t="shared" si="477"/>
        <v>4057.3064406779658</v>
      </c>
      <c r="AD812" s="98">
        <v>4127.26</v>
      </c>
      <c r="AE812" s="98">
        <v>4101</v>
      </c>
      <c r="AF812" s="98">
        <v>4140.2</v>
      </c>
      <c r="AG812" s="98">
        <f t="shared" si="478"/>
        <v>12.9399999999996</v>
      </c>
      <c r="AH812" s="99">
        <v>672.5</v>
      </c>
      <c r="AI812" s="100">
        <f t="shared" si="479"/>
        <v>2784284.5</v>
      </c>
      <c r="AJ812" s="100">
        <f t="shared" si="487"/>
        <v>0</v>
      </c>
      <c r="AK812" s="100">
        <v>0</v>
      </c>
      <c r="AL812" s="100">
        <v>24290</v>
      </c>
      <c r="AM812" s="100">
        <v>0</v>
      </c>
      <c r="AN812" s="100">
        <v>0</v>
      </c>
      <c r="AO812" s="100">
        <v>0</v>
      </c>
      <c r="AP812" s="100">
        <f t="shared" si="471"/>
        <v>140429</v>
      </c>
      <c r="AQ812" s="101">
        <f t="shared" si="472"/>
        <v>2949004</v>
      </c>
      <c r="AR812" s="101">
        <v>0</v>
      </c>
      <c r="AS812" s="101">
        <v>0</v>
      </c>
      <c r="AT812" s="102" t="s">
        <v>33</v>
      </c>
      <c r="AU812" s="109">
        <v>26</v>
      </c>
      <c r="AV812" s="100">
        <f>61.85-33.35</f>
        <v>28.5</v>
      </c>
      <c r="AW812" s="262">
        <v>0</v>
      </c>
      <c r="AX812" s="216">
        <f t="shared" si="480"/>
        <v>0.31254528766725281</v>
      </c>
      <c r="AY812" s="217">
        <f t="shared" si="481"/>
        <v>8703</v>
      </c>
      <c r="AZ812" s="107"/>
      <c r="BA812" s="94">
        <v>45616.333333333336</v>
      </c>
      <c r="BB812" s="94">
        <v>45616.340277777781</v>
      </c>
      <c r="BC812" s="94">
        <v>45616.340277777781</v>
      </c>
      <c r="BD812" s="94">
        <v>45616.504861111112</v>
      </c>
      <c r="BE812" s="95">
        <f t="shared" si="488"/>
        <v>0.17152777777664596</v>
      </c>
      <c r="BF812" s="95">
        <v>1.8749999999999999E-2</v>
      </c>
      <c r="BG812" s="95">
        <v>0</v>
      </c>
      <c r="BH812" s="95">
        <f t="shared" si="489"/>
        <v>6.9444444452528842E-3</v>
      </c>
      <c r="BI812" s="95">
        <f t="shared" si="489"/>
        <v>0</v>
      </c>
      <c r="BJ812" s="95">
        <f t="shared" si="489"/>
        <v>0.16458333333139308</v>
      </c>
      <c r="BK812" s="95">
        <f t="shared" si="490"/>
        <v>0.16458333333139308</v>
      </c>
      <c r="BL812" s="95">
        <f t="shared" si="491"/>
        <v>0.14583333333139309</v>
      </c>
      <c r="BM812" s="95" t="str">
        <f t="shared" si="492"/>
        <v>00:00</v>
      </c>
      <c r="BN812" s="110"/>
    </row>
    <row r="813" spans="1:66" s="8" customFormat="1" ht="12.75" customHeight="1" x14ac:dyDescent="0.25">
      <c r="A813" s="150">
        <v>743</v>
      </c>
      <c r="B813" s="150">
        <v>52</v>
      </c>
      <c r="C813" s="90">
        <v>2</v>
      </c>
      <c r="D813" s="111" t="s">
        <v>113</v>
      </c>
      <c r="E813" s="210" t="s">
        <v>943</v>
      </c>
      <c r="F813" s="150" t="s">
        <v>32</v>
      </c>
      <c r="G813" s="150" t="s">
        <v>15</v>
      </c>
      <c r="H813" s="150" t="s">
        <v>182</v>
      </c>
      <c r="I813" s="150" t="s">
        <v>960</v>
      </c>
      <c r="J813" s="151">
        <v>45616</v>
      </c>
      <c r="K813" s="135" t="s">
        <v>117</v>
      </c>
      <c r="L813" s="135">
        <v>261006095</v>
      </c>
      <c r="M813" s="151">
        <v>45617</v>
      </c>
      <c r="N813" s="152">
        <v>45616.541666666664</v>
      </c>
      <c r="O813" s="152">
        <v>45616.541666666664</v>
      </c>
      <c r="P813" s="152">
        <v>45616.545138888891</v>
      </c>
      <c r="Q813" s="152">
        <v>45616.75</v>
      </c>
      <c r="R813" s="152" t="s">
        <v>118</v>
      </c>
      <c r="S813" s="152" t="s">
        <v>118</v>
      </c>
      <c r="T813" s="152">
        <v>45616.854166666664</v>
      </c>
      <c r="U813" s="152">
        <v>45617.010416666664</v>
      </c>
      <c r="V813" s="219">
        <f t="shared" si="473"/>
        <v>0.20833333333575865</v>
      </c>
      <c r="W813" s="203">
        <v>0.20833333333333334</v>
      </c>
      <c r="X813" s="219">
        <f t="shared" si="474"/>
        <v>2.4253099528692701E-12</v>
      </c>
      <c r="Y813" s="96">
        <v>0</v>
      </c>
      <c r="Z813" s="96">
        <v>54</v>
      </c>
      <c r="AA813" s="96">
        <f t="shared" si="475"/>
        <v>54</v>
      </c>
      <c r="AB813" s="97">
        <f t="shared" si="476"/>
        <v>0</v>
      </c>
      <c r="AC813" s="97">
        <f t="shared" si="477"/>
        <v>3742.4100000000003</v>
      </c>
      <c r="AD813" s="98">
        <v>3742.41</v>
      </c>
      <c r="AE813" s="98">
        <v>3771</v>
      </c>
      <c r="AF813" s="98">
        <v>3778</v>
      </c>
      <c r="AG813" s="98">
        <f t="shared" si="478"/>
        <v>35.590000000000146</v>
      </c>
      <c r="AH813" s="99">
        <v>1484</v>
      </c>
      <c r="AI813" s="100">
        <f t="shared" si="479"/>
        <v>5606552</v>
      </c>
      <c r="AJ813" s="100">
        <f t="shared" si="487"/>
        <v>0</v>
      </c>
      <c r="AK813" s="100">
        <v>0</v>
      </c>
      <c r="AL813" s="100">
        <v>23540</v>
      </c>
      <c r="AM813" s="100">
        <v>0</v>
      </c>
      <c r="AN813" s="100">
        <v>0</v>
      </c>
      <c r="AO813" s="100">
        <v>0</v>
      </c>
      <c r="AP813" s="100">
        <f t="shared" si="471"/>
        <v>281505</v>
      </c>
      <c r="AQ813" s="101">
        <f t="shared" si="472"/>
        <v>5911597</v>
      </c>
      <c r="AR813" s="101">
        <v>0</v>
      </c>
      <c r="AS813" s="101">
        <v>0</v>
      </c>
      <c r="AT813" s="102" t="s">
        <v>33</v>
      </c>
      <c r="AU813" s="109">
        <v>1</v>
      </c>
      <c r="AV813" s="100">
        <f>7.8-6.8</f>
        <v>1</v>
      </c>
      <c r="AW813" s="262">
        <v>0</v>
      </c>
      <c r="AX813" s="216">
        <f t="shared" si="480"/>
        <v>0.94203282159873325</v>
      </c>
      <c r="AY813" s="217">
        <f t="shared" si="481"/>
        <v>52816</v>
      </c>
      <c r="AZ813" s="107"/>
      <c r="BA813" s="94">
        <v>45616.541666666664</v>
      </c>
      <c r="BB813" s="94">
        <v>45616.545138888891</v>
      </c>
      <c r="BC813" s="94">
        <v>45616.555555555555</v>
      </c>
      <c r="BD813" s="94">
        <v>45616.737500000003</v>
      </c>
      <c r="BE813" s="95">
        <f t="shared" si="488"/>
        <v>0.19583333333866904</v>
      </c>
      <c r="BF813" s="95">
        <v>3.472222222222222E-3</v>
      </c>
      <c r="BG813" s="95">
        <v>7.9861111111111105E-2</v>
      </c>
      <c r="BH813" s="95">
        <f t="shared" si="489"/>
        <v>3.4722222262644209E-3</v>
      </c>
      <c r="BI813" s="95">
        <f t="shared" si="489"/>
        <v>1.0416666664241347E-2</v>
      </c>
      <c r="BJ813" s="95">
        <f t="shared" si="489"/>
        <v>0.18194444444816327</v>
      </c>
      <c r="BK813" s="95">
        <f t="shared" si="490"/>
        <v>0.19236111111240461</v>
      </c>
      <c r="BL813" s="95">
        <f t="shared" si="491"/>
        <v>0.1090277777790713</v>
      </c>
      <c r="BM813" s="95" t="str">
        <f t="shared" si="492"/>
        <v>00:00</v>
      </c>
      <c r="BN813" s="110"/>
    </row>
    <row r="814" spans="1:66" s="8" customFormat="1" ht="12.75" customHeight="1" x14ac:dyDescent="0.25">
      <c r="A814" s="150">
        <v>744</v>
      </c>
      <c r="B814" s="150">
        <v>53</v>
      </c>
      <c r="C814" s="90">
        <v>19</v>
      </c>
      <c r="D814" s="111" t="s">
        <v>148</v>
      </c>
      <c r="E814" s="210" t="s">
        <v>935</v>
      </c>
      <c r="F814" s="150" t="s">
        <v>19</v>
      </c>
      <c r="G814" s="150" t="s">
        <v>17</v>
      </c>
      <c r="H814" s="150" t="s">
        <v>150</v>
      </c>
      <c r="I814" s="150" t="s">
        <v>291</v>
      </c>
      <c r="J814" s="151">
        <v>45616</v>
      </c>
      <c r="K814" s="135" t="s">
        <v>122</v>
      </c>
      <c r="L814" s="135">
        <v>461000559</v>
      </c>
      <c r="M814" s="151">
        <v>45617</v>
      </c>
      <c r="N814" s="152">
        <v>45616.836805555555</v>
      </c>
      <c r="O814" s="152">
        <v>45616.8125</v>
      </c>
      <c r="P814" s="152">
        <v>45616.847222222219</v>
      </c>
      <c r="Q814" s="152">
        <v>45616.989583333336</v>
      </c>
      <c r="R814" s="152">
        <v>45616.836805555555</v>
      </c>
      <c r="S814" s="152" t="s">
        <v>118</v>
      </c>
      <c r="T814" s="152">
        <v>45617.090277777781</v>
      </c>
      <c r="U814" s="152">
        <v>45617.340277777781</v>
      </c>
      <c r="V814" s="219">
        <f t="shared" si="473"/>
        <v>0.17708333333575865</v>
      </c>
      <c r="W814" s="203">
        <v>0.20833333333333334</v>
      </c>
      <c r="X814" s="219" t="str">
        <f t="shared" si="474"/>
        <v>00:00</v>
      </c>
      <c r="Y814" s="96">
        <v>14</v>
      </c>
      <c r="Z814" s="96">
        <v>45</v>
      </c>
      <c r="AA814" s="96">
        <f t="shared" si="475"/>
        <v>59</v>
      </c>
      <c r="AB814" s="97">
        <f t="shared" si="476"/>
        <v>980.91830508474573</v>
      </c>
      <c r="AC814" s="97">
        <f t="shared" si="477"/>
        <v>3152.9516949152544</v>
      </c>
      <c r="AD814" s="98">
        <v>4133.87</v>
      </c>
      <c r="AE814" s="98">
        <v>4015</v>
      </c>
      <c r="AF814" s="98">
        <v>4148.8</v>
      </c>
      <c r="AG814" s="98">
        <f t="shared" si="478"/>
        <v>14.930000000000291</v>
      </c>
      <c r="AH814" s="99">
        <v>672.5</v>
      </c>
      <c r="AI814" s="100">
        <f t="shared" si="479"/>
        <v>2790068</v>
      </c>
      <c r="AJ814" s="100">
        <f t="shared" si="487"/>
        <v>0</v>
      </c>
      <c r="AK814" s="100">
        <v>0</v>
      </c>
      <c r="AL814" s="100">
        <v>48580</v>
      </c>
      <c r="AM814" s="100">
        <v>0</v>
      </c>
      <c r="AN814" s="100">
        <v>0</v>
      </c>
      <c r="AO814" s="100">
        <v>0</v>
      </c>
      <c r="AP814" s="100">
        <f t="shared" si="471"/>
        <v>141933</v>
      </c>
      <c r="AQ814" s="101">
        <f t="shared" si="472"/>
        <v>2980581</v>
      </c>
      <c r="AR814" s="101">
        <v>0</v>
      </c>
      <c r="AS814" s="101">
        <v>0</v>
      </c>
      <c r="AT814" s="102" t="s">
        <v>33</v>
      </c>
      <c r="AU814" s="109">
        <v>36</v>
      </c>
      <c r="AV814" s="100">
        <f>88.82-35.32</f>
        <v>53.499999999999993</v>
      </c>
      <c r="AW814" s="262">
        <v>0</v>
      </c>
      <c r="AX814" s="216">
        <f t="shared" si="480"/>
        <v>0.35986309294254459</v>
      </c>
      <c r="AY814" s="217">
        <f t="shared" si="481"/>
        <v>10041</v>
      </c>
      <c r="AZ814" s="107"/>
      <c r="BA814" s="94">
        <v>45616.836805555555</v>
      </c>
      <c r="BB814" s="94">
        <v>45616.847222222219</v>
      </c>
      <c r="BC814" s="94">
        <v>45616.847222222219</v>
      </c>
      <c r="BD814" s="94">
        <v>45617.090277777781</v>
      </c>
      <c r="BE814" s="95">
        <f t="shared" si="488"/>
        <v>0.25347222222626442</v>
      </c>
      <c r="BF814" s="95">
        <v>0</v>
      </c>
      <c r="BG814" s="95">
        <v>0.10486111111111111</v>
      </c>
      <c r="BH814" s="95">
        <f t="shared" si="489"/>
        <v>1.0416666664241347E-2</v>
      </c>
      <c r="BI814" s="95">
        <f t="shared" si="489"/>
        <v>0</v>
      </c>
      <c r="BJ814" s="95">
        <f t="shared" si="489"/>
        <v>0.24305555556202307</v>
      </c>
      <c r="BK814" s="95">
        <f t="shared" si="490"/>
        <v>0.24305555556202307</v>
      </c>
      <c r="BL814" s="95">
        <f t="shared" si="491"/>
        <v>0.13819444445091195</v>
      </c>
      <c r="BM814" s="95">
        <f t="shared" si="492"/>
        <v>4.5138888892931078E-2</v>
      </c>
      <c r="BN814" s="110"/>
    </row>
    <row r="815" spans="1:66" s="8" customFormat="1" ht="12.75" customHeight="1" x14ac:dyDescent="0.25">
      <c r="A815" s="150">
        <v>745</v>
      </c>
      <c r="B815" s="150">
        <v>54</v>
      </c>
      <c r="C815" s="90">
        <v>9</v>
      </c>
      <c r="D815" s="111" t="s">
        <v>113</v>
      </c>
      <c r="E815" s="210" t="s">
        <v>940</v>
      </c>
      <c r="F815" s="150" t="s">
        <v>29</v>
      </c>
      <c r="G815" s="150" t="s">
        <v>15</v>
      </c>
      <c r="H815" s="150" t="s">
        <v>124</v>
      </c>
      <c r="I815" s="150" t="s">
        <v>961</v>
      </c>
      <c r="J815" s="151">
        <v>45616</v>
      </c>
      <c r="K815" s="135" t="s">
        <v>117</v>
      </c>
      <c r="L815" s="135">
        <v>261006097</v>
      </c>
      <c r="M815" s="151">
        <v>45617</v>
      </c>
      <c r="N815" s="152">
        <v>45617.083333333336</v>
      </c>
      <c r="O815" s="152">
        <v>45617.083333333336</v>
      </c>
      <c r="P815" s="152">
        <v>45617.086805555555</v>
      </c>
      <c r="Q815" s="152">
        <v>45617.291666666664</v>
      </c>
      <c r="R815" s="152" t="s">
        <v>118</v>
      </c>
      <c r="S815" s="152" t="s">
        <v>118</v>
      </c>
      <c r="T815" s="152">
        <v>45617.375</v>
      </c>
      <c r="U815" s="152">
        <v>45617.564583333333</v>
      </c>
      <c r="V815" s="219">
        <f t="shared" si="473"/>
        <v>0.20833333332848269</v>
      </c>
      <c r="W815" s="203">
        <v>0.20833333333333334</v>
      </c>
      <c r="X815" s="219" t="str">
        <f t="shared" si="474"/>
        <v>00:00</v>
      </c>
      <c r="Y815" s="96">
        <v>0</v>
      </c>
      <c r="Z815" s="96">
        <v>58</v>
      </c>
      <c r="AA815" s="96">
        <f t="shared" si="475"/>
        <v>58</v>
      </c>
      <c r="AB815" s="97">
        <f t="shared" si="476"/>
        <v>0</v>
      </c>
      <c r="AC815" s="97">
        <f t="shared" si="477"/>
        <v>3912.9499999999994</v>
      </c>
      <c r="AD815" s="98">
        <v>3912.95</v>
      </c>
      <c r="AE815" s="98">
        <v>4034.6</v>
      </c>
      <c r="AF815" s="98">
        <v>4034.6</v>
      </c>
      <c r="AG815" s="98">
        <f t="shared" si="478"/>
        <v>121.65000000000009</v>
      </c>
      <c r="AH815" s="99">
        <v>797.2</v>
      </c>
      <c r="AI815" s="100">
        <f t="shared" si="479"/>
        <v>3216383.12</v>
      </c>
      <c r="AJ815" s="100">
        <f t="shared" si="487"/>
        <v>0</v>
      </c>
      <c r="AK815" s="100">
        <v>0</v>
      </c>
      <c r="AL815" s="100">
        <v>0</v>
      </c>
      <c r="AM815" s="100">
        <v>0</v>
      </c>
      <c r="AN815" s="100">
        <v>0</v>
      </c>
      <c r="AO815" s="100">
        <v>0</v>
      </c>
      <c r="AP815" s="100">
        <f t="shared" si="471"/>
        <v>160820</v>
      </c>
      <c r="AQ815" s="101">
        <f t="shared" si="472"/>
        <v>3377204</v>
      </c>
      <c r="AR815" s="101">
        <v>0</v>
      </c>
      <c r="AS815" s="101">
        <v>0</v>
      </c>
      <c r="AT815" s="102" t="s">
        <v>33</v>
      </c>
      <c r="AU815" s="109" t="s">
        <v>118</v>
      </c>
      <c r="AV815" s="100">
        <v>0</v>
      </c>
      <c r="AW815" s="262">
        <v>0</v>
      </c>
      <c r="AX815" s="216">
        <f t="shared" si="480"/>
        <v>3.0151687899667894</v>
      </c>
      <c r="AY815" s="217">
        <f t="shared" si="481"/>
        <v>96980</v>
      </c>
      <c r="AZ815" s="107"/>
      <c r="BA815" s="94">
        <v>45617.083333333336</v>
      </c>
      <c r="BB815" s="94">
        <v>45617.086805555555</v>
      </c>
      <c r="BC815" s="94">
        <v>45617.121527777781</v>
      </c>
      <c r="BD815" s="94">
        <v>45617.274305555555</v>
      </c>
      <c r="BE815" s="95">
        <f t="shared" si="488"/>
        <v>0.19097222221898846</v>
      </c>
      <c r="BF815" s="95">
        <v>0</v>
      </c>
      <c r="BG815" s="95">
        <v>7.9861111111111105E-2</v>
      </c>
      <c r="BH815" s="95">
        <f t="shared" si="489"/>
        <v>3.4722222189884633E-3</v>
      </c>
      <c r="BI815" s="95">
        <f t="shared" si="489"/>
        <v>3.4722222226264421E-2</v>
      </c>
      <c r="BJ815" s="95">
        <f t="shared" si="489"/>
        <v>0.15277777777373558</v>
      </c>
      <c r="BK815" s="95">
        <f t="shared" si="490"/>
        <v>0.1875</v>
      </c>
      <c r="BL815" s="95">
        <f t="shared" si="491"/>
        <v>0.1076388888888889</v>
      </c>
      <c r="BM815" s="95" t="str">
        <f t="shared" si="492"/>
        <v>00:00</v>
      </c>
      <c r="BN815" s="110"/>
    </row>
    <row r="816" spans="1:66" s="8" customFormat="1" ht="12.75" customHeight="1" x14ac:dyDescent="0.25">
      <c r="A816" s="150">
        <v>746</v>
      </c>
      <c r="B816" s="150">
        <v>55</v>
      </c>
      <c r="C816" s="90">
        <v>27</v>
      </c>
      <c r="D816" s="111" t="s">
        <v>113</v>
      </c>
      <c r="E816" s="210" t="s">
        <v>863</v>
      </c>
      <c r="F816" s="150" t="s">
        <v>32</v>
      </c>
      <c r="G816" s="150" t="s">
        <v>8</v>
      </c>
      <c r="H816" s="150" t="s">
        <v>783</v>
      </c>
      <c r="I816" s="150" t="s">
        <v>411</v>
      </c>
      <c r="J816" s="151">
        <v>45617</v>
      </c>
      <c r="K816" s="135" t="s">
        <v>122</v>
      </c>
      <c r="L816" s="135">
        <v>281000263</v>
      </c>
      <c r="M816" s="151">
        <v>45618</v>
      </c>
      <c r="N816" s="152">
        <v>45617.479166666664</v>
      </c>
      <c r="O816" s="152">
        <v>45617.479166666664</v>
      </c>
      <c r="P816" s="152">
        <v>45617.482638888891</v>
      </c>
      <c r="Q816" s="152">
        <v>45617.666666666664</v>
      </c>
      <c r="R816" s="152" t="s">
        <v>118</v>
      </c>
      <c r="S816" s="152" t="s">
        <v>118</v>
      </c>
      <c r="T816" s="152">
        <v>45617.708333333336</v>
      </c>
      <c r="U816" s="152">
        <v>45617.771527777775</v>
      </c>
      <c r="V816" s="219">
        <f t="shared" si="473"/>
        <v>0.1875</v>
      </c>
      <c r="W816" s="203">
        <v>0.20833333333333334</v>
      </c>
      <c r="X816" s="219" t="str">
        <f t="shared" si="474"/>
        <v>00:00</v>
      </c>
      <c r="Y816" s="96">
        <v>1</v>
      </c>
      <c r="Z816" s="96">
        <v>58</v>
      </c>
      <c r="AA816" s="96">
        <f t="shared" si="475"/>
        <v>59</v>
      </c>
      <c r="AB816" s="97">
        <f t="shared" si="476"/>
        <v>67.297966101694911</v>
      </c>
      <c r="AC816" s="97">
        <f t="shared" si="477"/>
        <v>3903.2820338983047</v>
      </c>
      <c r="AD816" s="98">
        <v>3970.58</v>
      </c>
      <c r="AE816" s="98">
        <v>4098.3999999999996</v>
      </c>
      <c r="AF816" s="98">
        <v>4099.2</v>
      </c>
      <c r="AG816" s="98">
        <f t="shared" si="478"/>
        <v>128.61999999999989</v>
      </c>
      <c r="AH816" s="99">
        <v>1228</v>
      </c>
      <c r="AI816" s="100">
        <f t="shared" si="479"/>
        <v>5033817.5999999996</v>
      </c>
      <c r="AJ816" s="100">
        <f t="shared" si="487"/>
        <v>0</v>
      </c>
      <c r="AK816" s="100">
        <v>0</v>
      </c>
      <c r="AL816" s="100">
        <v>0</v>
      </c>
      <c r="AM816" s="100">
        <v>0</v>
      </c>
      <c r="AN816" s="100">
        <v>0</v>
      </c>
      <c r="AO816" s="100">
        <v>0</v>
      </c>
      <c r="AP816" s="100">
        <f t="shared" si="471"/>
        <v>251691</v>
      </c>
      <c r="AQ816" s="101">
        <f t="shared" si="472"/>
        <v>5285509</v>
      </c>
      <c r="AR816" s="101">
        <v>0</v>
      </c>
      <c r="AS816" s="101">
        <v>0</v>
      </c>
      <c r="AT816" s="102" t="s">
        <v>33</v>
      </c>
      <c r="AU816" s="109" t="s">
        <v>118</v>
      </c>
      <c r="AV816" s="100">
        <v>0</v>
      </c>
      <c r="AW816" s="262">
        <v>0</v>
      </c>
      <c r="AX816" s="216">
        <f t="shared" si="480"/>
        <v>3.1376854020296623</v>
      </c>
      <c r="AY816" s="217">
        <f t="shared" si="481"/>
        <v>157946</v>
      </c>
      <c r="AZ816" s="107"/>
      <c r="BA816" s="94">
        <v>45617.479166666664</v>
      </c>
      <c r="BB816" s="94">
        <v>45617.482638888891</v>
      </c>
      <c r="BC816" s="94">
        <v>45617.482638888891</v>
      </c>
      <c r="BD816" s="94">
        <v>45617.636111111111</v>
      </c>
      <c r="BE816" s="95">
        <f t="shared" si="488"/>
        <v>0.15694444444670808</v>
      </c>
      <c r="BF816" s="95">
        <v>1.1805555555555555E-2</v>
      </c>
      <c r="BG816" s="95">
        <v>6.2500000000000003E-3</v>
      </c>
      <c r="BH816" s="95">
        <f t="shared" si="489"/>
        <v>3.4722222262644209E-3</v>
      </c>
      <c r="BI816" s="95">
        <f t="shared" si="489"/>
        <v>0</v>
      </c>
      <c r="BJ816" s="95">
        <f t="shared" si="489"/>
        <v>0.15347222222044365</v>
      </c>
      <c r="BK816" s="95">
        <f t="shared" si="490"/>
        <v>0.15347222222044365</v>
      </c>
      <c r="BL816" s="95">
        <f t="shared" si="491"/>
        <v>0.13541666666488808</v>
      </c>
      <c r="BM816" s="95" t="str">
        <f t="shared" si="492"/>
        <v>00:00</v>
      </c>
      <c r="BN816" s="110"/>
    </row>
    <row r="817" spans="1:66" s="8" customFormat="1" ht="12.75" customHeight="1" x14ac:dyDescent="0.25">
      <c r="A817" s="150">
        <v>747</v>
      </c>
      <c r="B817" s="150">
        <v>56</v>
      </c>
      <c r="C817" s="90">
        <v>20</v>
      </c>
      <c r="D817" s="111" t="s">
        <v>148</v>
      </c>
      <c r="E817" s="210" t="s">
        <v>935</v>
      </c>
      <c r="F817" s="150" t="s">
        <v>19</v>
      </c>
      <c r="G817" s="150" t="s">
        <v>17</v>
      </c>
      <c r="H817" s="150" t="s">
        <v>150</v>
      </c>
      <c r="I817" s="150" t="s">
        <v>292</v>
      </c>
      <c r="J817" s="151">
        <v>45617</v>
      </c>
      <c r="K817" s="135" t="s">
        <v>117</v>
      </c>
      <c r="L817" s="135">
        <v>441000017</v>
      </c>
      <c r="M817" s="151">
        <v>45618</v>
      </c>
      <c r="N817" s="152">
        <v>45617.697916666664</v>
      </c>
      <c r="O817" s="152">
        <v>45617.697916666664</v>
      </c>
      <c r="P817" s="152">
        <v>45617.711805555555</v>
      </c>
      <c r="Q817" s="152">
        <v>45617.885416666664</v>
      </c>
      <c r="R817" s="152" t="s">
        <v>118</v>
      </c>
      <c r="S817" s="152" t="s">
        <v>118</v>
      </c>
      <c r="T817" s="152">
        <v>45617.9375</v>
      </c>
      <c r="U817" s="152">
        <v>45618.09375</v>
      </c>
      <c r="V817" s="219">
        <f t="shared" si="473"/>
        <v>0.1875</v>
      </c>
      <c r="W817" s="203">
        <v>0.20833333333333334</v>
      </c>
      <c r="X817" s="219" t="str">
        <f t="shared" si="474"/>
        <v>00:00</v>
      </c>
      <c r="Y817" s="96">
        <v>17</v>
      </c>
      <c r="Z817" s="96">
        <v>41</v>
      </c>
      <c r="AA817" s="96">
        <f t="shared" si="475"/>
        <v>58</v>
      </c>
      <c r="AB817" s="97">
        <f t="shared" si="476"/>
        <v>1179.1786206896552</v>
      </c>
      <c r="AC817" s="97">
        <f t="shared" si="477"/>
        <v>2843.901379310345</v>
      </c>
      <c r="AD817" s="98">
        <v>4023.08</v>
      </c>
      <c r="AE817" s="98">
        <v>4029.6</v>
      </c>
      <c r="AF817" s="98">
        <v>4056.2</v>
      </c>
      <c r="AG817" s="98">
        <f t="shared" si="478"/>
        <v>33.119999999999891</v>
      </c>
      <c r="AH817" s="99">
        <v>672.5</v>
      </c>
      <c r="AI817" s="100">
        <f t="shared" si="479"/>
        <v>2727794.5</v>
      </c>
      <c r="AJ817" s="100">
        <f t="shared" si="487"/>
        <v>0</v>
      </c>
      <c r="AK817" s="100">
        <v>0</v>
      </c>
      <c r="AL817" s="100">
        <v>24140</v>
      </c>
      <c r="AM817" s="100">
        <v>0</v>
      </c>
      <c r="AN817" s="100">
        <v>0</v>
      </c>
      <c r="AO817" s="100">
        <v>0</v>
      </c>
      <c r="AP817" s="100">
        <f t="shared" si="471"/>
        <v>137597</v>
      </c>
      <c r="AQ817" s="101">
        <f t="shared" si="472"/>
        <v>2889532</v>
      </c>
      <c r="AR817" s="101">
        <v>0</v>
      </c>
      <c r="AS817" s="101">
        <v>0</v>
      </c>
      <c r="AT817" s="102" t="s">
        <v>33</v>
      </c>
      <c r="AU817" s="109">
        <v>18</v>
      </c>
      <c r="AV817" s="100">
        <f>42.01-22.51</f>
        <v>19.499999999999996</v>
      </c>
      <c r="AW817" s="262">
        <v>0</v>
      </c>
      <c r="AX817" s="216">
        <f t="shared" si="480"/>
        <v>0.81652778462600195</v>
      </c>
      <c r="AY817" s="217">
        <f t="shared" si="481"/>
        <v>22274</v>
      </c>
      <c r="AZ817" s="107"/>
      <c r="BA817" s="94">
        <v>45617.697916666664</v>
      </c>
      <c r="BB817" s="94">
        <v>45617.711805555555</v>
      </c>
      <c r="BC817" s="94">
        <v>45617.711805555555</v>
      </c>
      <c r="BD817" s="94">
        <v>45617.865277777775</v>
      </c>
      <c r="BE817" s="95">
        <f t="shared" si="488"/>
        <v>0.16736111111094942</v>
      </c>
      <c r="BF817" s="95">
        <v>0</v>
      </c>
      <c r="BG817" s="95">
        <v>4.8611111111111112E-2</v>
      </c>
      <c r="BH817" s="95">
        <f t="shared" si="489"/>
        <v>1.3888888890505768E-2</v>
      </c>
      <c r="BI817" s="95">
        <f t="shared" si="489"/>
        <v>0</v>
      </c>
      <c r="BJ817" s="95">
        <f t="shared" si="489"/>
        <v>0.15347222222044365</v>
      </c>
      <c r="BK817" s="95">
        <f t="shared" si="490"/>
        <v>0.15347222222044365</v>
      </c>
      <c r="BL817" s="95">
        <f t="shared" si="491"/>
        <v>0.10486111110933255</v>
      </c>
      <c r="BM817" s="95" t="str">
        <f t="shared" si="492"/>
        <v>00:00</v>
      </c>
      <c r="BN817" s="110"/>
    </row>
    <row r="818" spans="1:66" s="8" customFormat="1" ht="12.75" customHeight="1" x14ac:dyDescent="0.25">
      <c r="A818" s="150">
        <v>748</v>
      </c>
      <c r="B818" s="150">
        <v>57</v>
      </c>
      <c r="C818" s="90">
        <v>14</v>
      </c>
      <c r="D818" s="111" t="s">
        <v>148</v>
      </c>
      <c r="E818" s="210" t="s">
        <v>950</v>
      </c>
      <c r="F818" s="150" t="s">
        <v>16</v>
      </c>
      <c r="G818" s="150" t="s">
        <v>17</v>
      </c>
      <c r="H818" s="150" t="s">
        <v>150</v>
      </c>
      <c r="I818" s="150" t="s">
        <v>302</v>
      </c>
      <c r="J818" s="151">
        <v>45617</v>
      </c>
      <c r="K818" s="135" t="s">
        <v>122</v>
      </c>
      <c r="L818" s="135">
        <v>461000560</v>
      </c>
      <c r="M818" s="151">
        <v>45618</v>
      </c>
      <c r="N818" s="152">
        <v>45617.802083333336</v>
      </c>
      <c r="O818" s="152">
        <v>45617.802083333336</v>
      </c>
      <c r="P818" s="152">
        <v>45617.805555555555</v>
      </c>
      <c r="Q818" s="152">
        <v>45617.993055555555</v>
      </c>
      <c r="R818" s="152" t="s">
        <v>118</v>
      </c>
      <c r="S818" s="152" t="s">
        <v>118</v>
      </c>
      <c r="T818" s="152">
        <v>45618.1875</v>
      </c>
      <c r="U818" s="152">
        <v>45618.375</v>
      </c>
      <c r="V818" s="219">
        <f t="shared" si="473"/>
        <v>0.19097222221898846</v>
      </c>
      <c r="W818" s="203">
        <v>0.20833333333333334</v>
      </c>
      <c r="X818" s="219" t="str">
        <f t="shared" si="474"/>
        <v>00:00</v>
      </c>
      <c r="Y818" s="96">
        <v>0</v>
      </c>
      <c r="Z818" s="96">
        <v>59</v>
      </c>
      <c r="AA818" s="96">
        <f t="shared" si="475"/>
        <v>59</v>
      </c>
      <c r="AB818" s="97">
        <f t="shared" si="476"/>
        <v>0</v>
      </c>
      <c r="AC818" s="97">
        <f t="shared" si="477"/>
        <v>4133.79</v>
      </c>
      <c r="AD818" s="98">
        <v>4133.79</v>
      </c>
      <c r="AE818" s="98">
        <v>4103.1000000000004</v>
      </c>
      <c r="AF818" s="98">
        <v>4143.8</v>
      </c>
      <c r="AG818" s="98">
        <f t="shared" si="478"/>
        <v>10.010000000000218</v>
      </c>
      <c r="AH818" s="99">
        <v>672.5</v>
      </c>
      <c r="AI818" s="100">
        <f t="shared" si="479"/>
        <v>2786705.5</v>
      </c>
      <c r="AJ818" s="100">
        <f t="shared" si="487"/>
        <v>0</v>
      </c>
      <c r="AK818" s="100">
        <v>0</v>
      </c>
      <c r="AL818" s="100">
        <v>48580</v>
      </c>
      <c r="AM818" s="100">
        <v>0</v>
      </c>
      <c r="AN818" s="100">
        <v>0</v>
      </c>
      <c r="AO818" s="100">
        <v>0</v>
      </c>
      <c r="AP818" s="100">
        <f t="shared" si="471"/>
        <v>141765</v>
      </c>
      <c r="AQ818" s="101">
        <f t="shared" si="472"/>
        <v>2977051</v>
      </c>
      <c r="AR818" s="101">
        <v>0</v>
      </c>
      <c r="AS818" s="101">
        <v>0</v>
      </c>
      <c r="AT818" s="102" t="s">
        <v>33</v>
      </c>
      <c r="AU818" s="109">
        <v>27</v>
      </c>
      <c r="AV818" s="100">
        <f>68.66-34.66</f>
        <v>34</v>
      </c>
      <c r="AW818" s="262">
        <v>0</v>
      </c>
      <c r="AX818" s="216">
        <f t="shared" si="480"/>
        <v>0.24156571263092372</v>
      </c>
      <c r="AY818" s="217">
        <f t="shared" si="481"/>
        <v>6732</v>
      </c>
      <c r="AZ818" s="107"/>
      <c r="BA818" s="94">
        <v>45617.802083333336</v>
      </c>
      <c r="BB818" s="94">
        <v>45617.805555555555</v>
      </c>
      <c r="BC818" s="94">
        <v>45617.881944444445</v>
      </c>
      <c r="BD818" s="94">
        <v>45618.018055555556</v>
      </c>
      <c r="BE818" s="95">
        <f t="shared" si="488"/>
        <v>0.21597222222044365</v>
      </c>
      <c r="BF818" s="95">
        <v>0</v>
      </c>
      <c r="BG818" s="95">
        <v>7.8472222222222221E-2</v>
      </c>
      <c r="BH818" s="95">
        <f t="shared" si="489"/>
        <v>3.4722222189884633E-3</v>
      </c>
      <c r="BI818" s="95">
        <f t="shared" si="489"/>
        <v>7.6388888890505768E-2</v>
      </c>
      <c r="BJ818" s="95">
        <f t="shared" si="489"/>
        <v>0.13611111111094942</v>
      </c>
      <c r="BK818" s="95">
        <f t="shared" si="490"/>
        <v>0.21250000000145519</v>
      </c>
      <c r="BL818" s="95">
        <f t="shared" si="491"/>
        <v>0.13402777777923297</v>
      </c>
      <c r="BM818" s="95">
        <f t="shared" si="492"/>
        <v>7.6388888871103122E-3</v>
      </c>
      <c r="BN818" s="110"/>
    </row>
    <row r="819" spans="1:66" s="8" customFormat="1" ht="12.75" customHeight="1" x14ac:dyDescent="0.25">
      <c r="A819" s="150">
        <v>749</v>
      </c>
      <c r="B819" s="150">
        <v>58</v>
      </c>
      <c r="C819" s="90">
        <v>2</v>
      </c>
      <c r="D819" s="111" t="s">
        <v>113</v>
      </c>
      <c r="E819" s="210" t="s">
        <v>956</v>
      </c>
      <c r="F819" s="150" t="s">
        <v>41</v>
      </c>
      <c r="G819" s="150" t="s">
        <v>12</v>
      </c>
      <c r="H819" s="150" t="s">
        <v>115</v>
      </c>
      <c r="I819" s="150" t="s">
        <v>962</v>
      </c>
      <c r="J819" s="151">
        <v>45617</v>
      </c>
      <c r="K819" s="135" t="s">
        <v>117</v>
      </c>
      <c r="L819" s="135">
        <v>282001059</v>
      </c>
      <c r="M819" s="151">
        <v>45618</v>
      </c>
      <c r="N819" s="152">
        <v>45618.177083333336</v>
      </c>
      <c r="O819" s="152">
        <v>45618.177083333336</v>
      </c>
      <c r="P819" s="152">
        <v>45618.21875</v>
      </c>
      <c r="Q819" s="152">
        <v>45618.385416666664</v>
      </c>
      <c r="R819" s="152" t="s">
        <v>118</v>
      </c>
      <c r="S819" s="152">
        <v>45618.447916666664</v>
      </c>
      <c r="T819" s="152">
        <v>45618.458333333336</v>
      </c>
      <c r="U819" s="152">
        <v>45618.561111111114</v>
      </c>
      <c r="V819" s="219">
        <f t="shared" si="473"/>
        <v>0.20833333332848269</v>
      </c>
      <c r="W819" s="203">
        <v>0.20833333333333334</v>
      </c>
      <c r="X819" s="219" t="str">
        <f t="shared" si="474"/>
        <v>00:00</v>
      </c>
      <c r="Y819" s="96">
        <v>0</v>
      </c>
      <c r="Z819" s="96">
        <v>57</v>
      </c>
      <c r="AA819" s="96">
        <f t="shared" si="475"/>
        <v>57</v>
      </c>
      <c r="AB819" s="97">
        <f t="shared" si="476"/>
        <v>0</v>
      </c>
      <c r="AC819" s="97">
        <f t="shared" si="477"/>
        <v>3906.1999999999994</v>
      </c>
      <c r="AD819" s="98">
        <v>3906.2</v>
      </c>
      <c r="AE819" s="98">
        <v>3990</v>
      </c>
      <c r="AF819" s="98">
        <v>3990.8</v>
      </c>
      <c r="AG819" s="98">
        <f t="shared" si="478"/>
        <v>84.600000000000364</v>
      </c>
      <c r="AH819" s="99">
        <v>1586.7</v>
      </c>
      <c r="AI819" s="100">
        <f t="shared" si="479"/>
        <v>6332202.3600000003</v>
      </c>
      <c r="AJ819" s="100">
        <f t="shared" si="487"/>
        <v>0</v>
      </c>
      <c r="AK819" s="100">
        <v>0</v>
      </c>
      <c r="AL819" s="100">
        <v>0</v>
      </c>
      <c r="AM819" s="100">
        <v>0</v>
      </c>
      <c r="AN819" s="100">
        <v>0</v>
      </c>
      <c r="AO819" s="100">
        <f>IFERROR(AF819*20+(((AJ819/AH819)/2)*20),0)</f>
        <v>79816</v>
      </c>
      <c r="AP819" s="100">
        <f t="shared" si="471"/>
        <v>320601</v>
      </c>
      <c r="AQ819" s="101">
        <f t="shared" si="472"/>
        <v>6732620</v>
      </c>
      <c r="AR819" s="101">
        <v>0</v>
      </c>
      <c r="AS819" s="101">
        <v>0</v>
      </c>
      <c r="AT819" s="102" t="s">
        <v>33</v>
      </c>
      <c r="AU819" s="109" t="s">
        <v>118</v>
      </c>
      <c r="AV819" s="100">
        <v>0</v>
      </c>
      <c r="AW819" s="262">
        <v>2</v>
      </c>
      <c r="AX819" s="216">
        <f t="shared" si="480"/>
        <v>2.1198757141425371</v>
      </c>
      <c r="AY819" s="217">
        <f t="shared" si="481"/>
        <v>134235</v>
      </c>
      <c r="AZ819" s="107"/>
      <c r="BA819" s="94">
        <v>45618.177083333336</v>
      </c>
      <c r="BB819" s="94">
        <v>45618.21875</v>
      </c>
      <c r="BC819" s="94">
        <v>45618.222222222219</v>
      </c>
      <c r="BD819" s="94">
        <v>45618.441666666666</v>
      </c>
      <c r="BE819" s="95">
        <f t="shared" si="488"/>
        <v>0.26458333332993789</v>
      </c>
      <c r="BF819" s="95">
        <v>0</v>
      </c>
      <c r="BG819" s="95">
        <v>0.10486111111111111</v>
      </c>
      <c r="BH819" s="95">
        <f t="shared" si="489"/>
        <v>4.1666666664241347E-2</v>
      </c>
      <c r="BI819" s="95">
        <f t="shared" si="489"/>
        <v>3.4722222189884633E-3</v>
      </c>
      <c r="BJ819" s="95">
        <f t="shared" si="489"/>
        <v>0.21944444444670808</v>
      </c>
      <c r="BK819" s="95">
        <f t="shared" si="490"/>
        <v>0.22291666666569654</v>
      </c>
      <c r="BL819" s="95">
        <f t="shared" si="491"/>
        <v>0.11805555555458543</v>
      </c>
      <c r="BM819" s="95">
        <f t="shared" si="492"/>
        <v>5.6249999996604544E-2</v>
      </c>
      <c r="BN819" s="110"/>
    </row>
    <row r="820" spans="1:66" s="8" customFormat="1" ht="12.75" customHeight="1" x14ac:dyDescent="0.25">
      <c r="A820" s="150">
        <v>750</v>
      </c>
      <c r="B820" s="150">
        <v>59</v>
      </c>
      <c r="C820" s="90">
        <v>28</v>
      </c>
      <c r="D820" s="111" t="s">
        <v>113</v>
      </c>
      <c r="E820" s="210" t="s">
        <v>863</v>
      </c>
      <c r="F820" s="150" t="s">
        <v>32</v>
      </c>
      <c r="G820" s="150" t="s">
        <v>8</v>
      </c>
      <c r="H820" s="150" t="s">
        <v>779</v>
      </c>
      <c r="I820" s="150" t="s">
        <v>963</v>
      </c>
      <c r="J820" s="151">
        <v>45618</v>
      </c>
      <c r="K820" s="135" t="s">
        <v>122</v>
      </c>
      <c r="L820" s="135">
        <v>281000264</v>
      </c>
      <c r="M820" s="151">
        <v>45618</v>
      </c>
      <c r="N820" s="152">
        <v>45618.430555555555</v>
      </c>
      <c r="O820" s="152">
        <v>45618.430555555555</v>
      </c>
      <c r="P820" s="152">
        <v>45618.4375</v>
      </c>
      <c r="Q820" s="152">
        <v>45618.625</v>
      </c>
      <c r="R820" s="152" t="s">
        <v>118</v>
      </c>
      <c r="S820" s="152" t="s">
        <v>118</v>
      </c>
      <c r="T820" s="152">
        <v>45618.645833333336</v>
      </c>
      <c r="U820" s="152">
        <v>45618.716666666667</v>
      </c>
      <c r="V820" s="219">
        <f t="shared" si="473"/>
        <v>0.19444444444525288</v>
      </c>
      <c r="W820" s="203">
        <v>0.20833333333333334</v>
      </c>
      <c r="X820" s="219" t="str">
        <f t="shared" si="474"/>
        <v>00:00</v>
      </c>
      <c r="Y820" s="96">
        <v>0</v>
      </c>
      <c r="Z820" s="96">
        <v>59</v>
      </c>
      <c r="AA820" s="96">
        <f t="shared" si="475"/>
        <v>59</v>
      </c>
      <c r="AB820" s="97">
        <f t="shared" si="476"/>
        <v>0</v>
      </c>
      <c r="AC820" s="97">
        <f t="shared" si="477"/>
        <v>3946.7699999999995</v>
      </c>
      <c r="AD820" s="98">
        <v>3946.77</v>
      </c>
      <c r="AE820" s="98">
        <v>4089.3</v>
      </c>
      <c r="AF820" s="98">
        <v>4089.4</v>
      </c>
      <c r="AG820" s="98">
        <f t="shared" si="478"/>
        <v>142.63000000000011</v>
      </c>
      <c r="AH820" s="99">
        <v>1435.6</v>
      </c>
      <c r="AI820" s="100">
        <f t="shared" si="479"/>
        <v>5870742.6399999997</v>
      </c>
      <c r="AJ820" s="100">
        <f t="shared" si="487"/>
        <v>0</v>
      </c>
      <c r="AK820" s="100">
        <v>0</v>
      </c>
      <c r="AL820" s="100">
        <v>0</v>
      </c>
      <c r="AM820" s="100">
        <v>0</v>
      </c>
      <c r="AN820" s="100">
        <v>0</v>
      </c>
      <c r="AO820" s="100">
        <v>0</v>
      </c>
      <c r="AP820" s="100">
        <f t="shared" si="471"/>
        <v>293538</v>
      </c>
      <c r="AQ820" s="101">
        <f t="shared" si="472"/>
        <v>6164281</v>
      </c>
      <c r="AR820" s="101">
        <v>0</v>
      </c>
      <c r="AS820" s="101">
        <v>0</v>
      </c>
      <c r="AT820" s="102" t="s">
        <v>33</v>
      </c>
      <c r="AU820" s="109" t="s">
        <v>118</v>
      </c>
      <c r="AV820" s="100">
        <v>0</v>
      </c>
      <c r="AW820" s="262">
        <v>0</v>
      </c>
      <c r="AX820" s="216">
        <f t="shared" si="480"/>
        <v>3.4877977209370594</v>
      </c>
      <c r="AY820" s="217">
        <f t="shared" si="481"/>
        <v>204760</v>
      </c>
      <c r="AZ820" s="107"/>
      <c r="BA820" s="94">
        <v>45618.430555555555</v>
      </c>
      <c r="BB820" s="94">
        <v>45618.4375</v>
      </c>
      <c r="BC820" s="94">
        <v>45618.454861111109</v>
      </c>
      <c r="BD820" s="94">
        <v>45618.611111111109</v>
      </c>
      <c r="BE820" s="95">
        <f t="shared" si="488"/>
        <v>0.18055555555474712</v>
      </c>
      <c r="BF820" s="95">
        <v>2.7777777777777779E-3</v>
      </c>
      <c r="BG820" s="95">
        <v>2.2222222222222223E-2</v>
      </c>
      <c r="BH820" s="95">
        <f t="shared" si="489"/>
        <v>6.9444444452528842E-3</v>
      </c>
      <c r="BI820" s="95">
        <f t="shared" si="489"/>
        <v>1.7361111109494232E-2</v>
      </c>
      <c r="BJ820" s="95">
        <f t="shared" si="489"/>
        <v>0.15625</v>
      </c>
      <c r="BK820" s="95">
        <f t="shared" si="490"/>
        <v>0.17361111110949423</v>
      </c>
      <c r="BL820" s="95">
        <f t="shared" si="491"/>
        <v>0.14861111110949424</v>
      </c>
      <c r="BM820" s="95" t="str">
        <f t="shared" si="492"/>
        <v>00:00</v>
      </c>
      <c r="BN820" s="110"/>
    </row>
    <row r="821" spans="1:66" s="8" customFormat="1" ht="12.75" customHeight="1" x14ac:dyDescent="0.25">
      <c r="A821" s="150">
        <v>751</v>
      </c>
      <c r="B821" s="150">
        <v>60</v>
      </c>
      <c r="C821" s="90">
        <v>15</v>
      </c>
      <c r="D821" s="111" t="s">
        <v>148</v>
      </c>
      <c r="E821" s="210" t="s">
        <v>950</v>
      </c>
      <c r="F821" s="150" t="s">
        <v>16</v>
      </c>
      <c r="G821" s="150" t="s">
        <v>17</v>
      </c>
      <c r="H821" s="150" t="s">
        <v>150</v>
      </c>
      <c r="I821" s="150" t="s">
        <v>305</v>
      </c>
      <c r="J821" s="151">
        <v>45618</v>
      </c>
      <c r="K821" s="135" t="s">
        <v>117</v>
      </c>
      <c r="L821" s="135">
        <v>461000561</v>
      </c>
      <c r="M821" s="151">
        <v>45618</v>
      </c>
      <c r="N821" s="152">
        <v>45618.614583333336</v>
      </c>
      <c r="O821" s="152">
        <v>45618.614583333336</v>
      </c>
      <c r="P821" s="152">
        <v>45618.618055555555</v>
      </c>
      <c r="Q821" s="152">
        <v>45618.78125</v>
      </c>
      <c r="R821" s="152" t="s">
        <v>118</v>
      </c>
      <c r="S821" s="152" t="s">
        <v>118</v>
      </c>
      <c r="T821" s="152">
        <v>45618.791666666664</v>
      </c>
      <c r="U821" s="152">
        <v>45618.951388888891</v>
      </c>
      <c r="V821" s="219">
        <f t="shared" si="473"/>
        <v>0.16666666666424135</v>
      </c>
      <c r="W821" s="203">
        <v>0.20833333333333334</v>
      </c>
      <c r="X821" s="219" t="str">
        <f t="shared" si="474"/>
        <v>00:00</v>
      </c>
      <c r="Y821" s="96">
        <v>59</v>
      </c>
      <c r="Z821" s="96">
        <v>0</v>
      </c>
      <c r="AA821" s="96">
        <f t="shared" si="475"/>
        <v>59</v>
      </c>
      <c r="AB821" s="97">
        <f t="shared" si="476"/>
        <v>4056.2700000000004</v>
      </c>
      <c r="AC821" s="97">
        <f t="shared" si="477"/>
        <v>0</v>
      </c>
      <c r="AD821" s="98">
        <v>4056.27</v>
      </c>
      <c r="AE821" s="98">
        <v>4106.1000000000004</v>
      </c>
      <c r="AF821" s="98">
        <v>4112.2</v>
      </c>
      <c r="AG821" s="98">
        <f t="shared" si="478"/>
        <v>55.929999999999836</v>
      </c>
      <c r="AH821" s="99">
        <v>672.5</v>
      </c>
      <c r="AI821" s="100">
        <f t="shared" si="479"/>
        <v>2765454.5</v>
      </c>
      <c r="AJ821" s="100">
        <f t="shared" si="487"/>
        <v>0</v>
      </c>
      <c r="AK821" s="100">
        <v>0</v>
      </c>
      <c r="AL821" s="100">
        <v>24290</v>
      </c>
      <c r="AM821" s="100">
        <v>0</v>
      </c>
      <c r="AN821" s="100">
        <v>0</v>
      </c>
      <c r="AO821" s="100">
        <v>0</v>
      </c>
      <c r="AP821" s="100">
        <f t="shared" si="471"/>
        <v>139488</v>
      </c>
      <c r="AQ821" s="101">
        <f t="shared" si="472"/>
        <v>2929233</v>
      </c>
      <c r="AR821" s="101">
        <v>0</v>
      </c>
      <c r="AS821" s="101">
        <v>0</v>
      </c>
      <c r="AT821" s="102" t="s">
        <v>33</v>
      </c>
      <c r="AU821" s="109">
        <v>3</v>
      </c>
      <c r="AV821" s="100">
        <f>10.2-5.2</f>
        <v>4.9999999999999991</v>
      </c>
      <c r="AW821" s="262">
        <v>0</v>
      </c>
      <c r="AX821" s="216">
        <f t="shared" si="480"/>
        <v>1.3600992169641515</v>
      </c>
      <c r="AY821" s="217">
        <f t="shared" si="481"/>
        <v>37613</v>
      </c>
      <c r="AZ821" s="107"/>
      <c r="BA821" s="94"/>
      <c r="BB821" s="94"/>
      <c r="BC821" s="94"/>
      <c r="BD821" s="94"/>
      <c r="BE821" s="95"/>
      <c r="BF821" s="95"/>
      <c r="BG821" s="95"/>
      <c r="BH821" s="95"/>
      <c r="BI821" s="95"/>
      <c r="BJ821" s="95"/>
      <c r="BK821" s="95"/>
      <c r="BL821" s="95"/>
      <c r="BM821" s="95"/>
      <c r="BN821" s="110" t="s">
        <v>964</v>
      </c>
    </row>
    <row r="822" spans="1:66" s="8" customFormat="1" ht="12.75" customHeight="1" x14ac:dyDescent="0.25">
      <c r="A822" s="150">
        <v>752</v>
      </c>
      <c r="B822" s="150">
        <v>61</v>
      </c>
      <c r="C822" s="90">
        <v>16</v>
      </c>
      <c r="D822" s="111" t="s">
        <v>148</v>
      </c>
      <c r="E822" s="210" t="s">
        <v>950</v>
      </c>
      <c r="F822" s="150" t="s">
        <v>16</v>
      </c>
      <c r="G822" s="150" t="s">
        <v>17</v>
      </c>
      <c r="H822" s="150" t="s">
        <v>150</v>
      </c>
      <c r="I822" s="150" t="s">
        <v>304</v>
      </c>
      <c r="J822" s="151">
        <v>45618</v>
      </c>
      <c r="K822" s="135" t="s">
        <v>122</v>
      </c>
      <c r="L822" s="135">
        <v>461000562</v>
      </c>
      <c r="M822" s="151">
        <v>45619</v>
      </c>
      <c r="N822" s="152">
        <v>45618.78125</v>
      </c>
      <c r="O822" s="152">
        <v>45618.78125</v>
      </c>
      <c r="P822" s="152">
        <v>45618.784722222219</v>
      </c>
      <c r="Q822" s="152">
        <v>45618.989583333336</v>
      </c>
      <c r="R822" s="152" t="s">
        <v>118</v>
      </c>
      <c r="S822" s="152" t="s">
        <v>118</v>
      </c>
      <c r="T822" s="152">
        <v>45619.104166666664</v>
      </c>
      <c r="U822" s="152">
        <v>45619.267361111109</v>
      </c>
      <c r="V822" s="219">
        <f t="shared" si="473"/>
        <v>0.20833333333575865</v>
      </c>
      <c r="W822" s="203">
        <v>0.20833333333333334</v>
      </c>
      <c r="X822" s="219">
        <f t="shared" si="474"/>
        <v>2.4253099528692701E-12</v>
      </c>
      <c r="Y822" s="96">
        <v>21</v>
      </c>
      <c r="Z822" s="96">
        <v>37</v>
      </c>
      <c r="AA822" s="96">
        <f t="shared" si="475"/>
        <v>58</v>
      </c>
      <c r="AB822" s="97">
        <f t="shared" si="476"/>
        <v>1462.7767241379311</v>
      </c>
      <c r="AC822" s="97">
        <f t="shared" si="477"/>
        <v>2577.2732758620691</v>
      </c>
      <c r="AD822" s="98">
        <v>4040.05</v>
      </c>
      <c r="AE822" s="98">
        <v>4034.6</v>
      </c>
      <c r="AF822" s="98">
        <v>4061.2</v>
      </c>
      <c r="AG822" s="98">
        <f t="shared" si="478"/>
        <v>21.149999999999636</v>
      </c>
      <c r="AH822" s="99">
        <v>672.5</v>
      </c>
      <c r="AI822" s="100">
        <f t="shared" si="479"/>
        <v>2731157</v>
      </c>
      <c r="AJ822" s="100">
        <f t="shared" si="487"/>
        <v>0</v>
      </c>
      <c r="AK822" s="100">
        <v>0</v>
      </c>
      <c r="AL822" s="100">
        <v>24140</v>
      </c>
      <c r="AM822" s="100">
        <v>0</v>
      </c>
      <c r="AN822" s="100">
        <v>0</v>
      </c>
      <c r="AO822" s="100">
        <v>0</v>
      </c>
      <c r="AP822" s="100">
        <f t="shared" si="471"/>
        <v>137765</v>
      </c>
      <c r="AQ822" s="101">
        <f t="shared" si="472"/>
        <v>2893062</v>
      </c>
      <c r="AR822" s="101">
        <v>0</v>
      </c>
      <c r="AS822" s="101">
        <v>0</v>
      </c>
      <c r="AT822" s="102" t="s">
        <v>33</v>
      </c>
      <c r="AU822" s="109">
        <v>18</v>
      </c>
      <c r="AV822" s="100">
        <f>39.02-22.52</f>
        <v>16.500000000000004</v>
      </c>
      <c r="AW822" s="262">
        <v>0</v>
      </c>
      <c r="AX822" s="216">
        <f t="shared" si="480"/>
        <v>0.52078203486653296</v>
      </c>
      <c r="AY822" s="217">
        <f t="shared" si="481"/>
        <v>14224</v>
      </c>
      <c r="AZ822" s="107"/>
      <c r="BA822" s="94">
        <v>45618.78125</v>
      </c>
      <c r="BB822" s="94">
        <v>45618.784722222219</v>
      </c>
      <c r="BC822" s="94">
        <v>45618.784722222219</v>
      </c>
      <c r="BD822" s="94">
        <v>45618.96875</v>
      </c>
      <c r="BE822" s="95">
        <f t="shared" ref="BE822:BE831" si="493">+BD822-BA822</f>
        <v>0.1875</v>
      </c>
      <c r="BF822" s="95">
        <v>0</v>
      </c>
      <c r="BG822" s="95">
        <v>9.2361111111111116E-2</v>
      </c>
      <c r="BH822" s="95">
        <f t="shared" ref="BH822:BJ831" si="494">+BB822-BA822</f>
        <v>3.4722222189884633E-3</v>
      </c>
      <c r="BI822" s="95">
        <f t="shared" si="494"/>
        <v>0</v>
      </c>
      <c r="BJ822" s="95">
        <f t="shared" si="494"/>
        <v>0.18402777778101154</v>
      </c>
      <c r="BK822" s="95">
        <f t="shared" ref="BK822:BK831" si="495">+BI822+BJ822</f>
        <v>0.18402777778101154</v>
      </c>
      <c r="BL822" s="95">
        <f t="shared" ref="BL822:BL831" si="496">+BE822-BH822-BF822-BG822</f>
        <v>9.1666666669900421E-2</v>
      </c>
      <c r="BM822" s="95" t="str">
        <f t="shared" ref="BM822:BM831" si="497">IF(VALUE(BE822)&lt;=VALUE("05:00"),"00:00",VALUE(BE822)-VALUE("05:00"))</f>
        <v>00:00</v>
      </c>
      <c r="BN822" s="110"/>
    </row>
    <row r="823" spans="1:66" s="8" customFormat="1" ht="12.75" customHeight="1" x14ac:dyDescent="0.25">
      <c r="A823" s="150">
        <v>753</v>
      </c>
      <c r="B823" s="150">
        <v>62</v>
      </c>
      <c r="C823" s="90">
        <v>10</v>
      </c>
      <c r="D823" s="111" t="s">
        <v>113</v>
      </c>
      <c r="E823" s="210" t="s">
        <v>940</v>
      </c>
      <c r="F823" s="150" t="s">
        <v>29</v>
      </c>
      <c r="G823" s="150" t="s">
        <v>15</v>
      </c>
      <c r="H823" s="150" t="s">
        <v>124</v>
      </c>
      <c r="I823" s="150" t="s">
        <v>965</v>
      </c>
      <c r="J823" s="151">
        <v>45618</v>
      </c>
      <c r="K823" s="135" t="s">
        <v>117</v>
      </c>
      <c r="L823" s="135">
        <v>461000563</v>
      </c>
      <c r="M823" s="151">
        <v>45619</v>
      </c>
      <c r="N823" s="152">
        <v>45619.0625</v>
      </c>
      <c r="O823" s="152">
        <v>45619.0625</v>
      </c>
      <c r="P823" s="152">
        <v>45619.076388888891</v>
      </c>
      <c r="Q823" s="152">
        <v>45619.25</v>
      </c>
      <c r="R823" s="152" t="s">
        <v>118</v>
      </c>
      <c r="S823" s="152" t="s">
        <v>118</v>
      </c>
      <c r="T823" s="152">
        <v>45619.291666666664</v>
      </c>
      <c r="U823" s="152">
        <v>45619.395138888889</v>
      </c>
      <c r="V823" s="219">
        <f t="shared" si="473"/>
        <v>0.1875</v>
      </c>
      <c r="W823" s="203">
        <v>0.20833333333333334</v>
      </c>
      <c r="X823" s="219" t="str">
        <f t="shared" si="474"/>
        <v>00:00</v>
      </c>
      <c r="Y823" s="96">
        <v>0</v>
      </c>
      <c r="Z823" s="96">
        <v>58</v>
      </c>
      <c r="AA823" s="96">
        <f t="shared" si="475"/>
        <v>58</v>
      </c>
      <c r="AB823" s="97">
        <f t="shared" si="476"/>
        <v>0</v>
      </c>
      <c r="AC823" s="97">
        <f t="shared" si="477"/>
        <v>3893.9800000000005</v>
      </c>
      <c r="AD823" s="98">
        <v>3893.98</v>
      </c>
      <c r="AE823" s="98">
        <v>4029</v>
      </c>
      <c r="AF823" s="98">
        <v>4029</v>
      </c>
      <c r="AG823" s="98">
        <f t="shared" si="478"/>
        <v>135.01999999999998</v>
      </c>
      <c r="AH823" s="99">
        <v>797.2</v>
      </c>
      <c r="AI823" s="100">
        <f t="shared" si="479"/>
        <v>3211918.8000000003</v>
      </c>
      <c r="AJ823" s="100">
        <f t="shared" si="487"/>
        <v>0</v>
      </c>
      <c r="AK823" s="100">
        <v>0</v>
      </c>
      <c r="AL823" s="100">
        <v>0</v>
      </c>
      <c r="AM823" s="100">
        <v>0</v>
      </c>
      <c r="AN823" s="100">
        <v>0</v>
      </c>
      <c r="AO823" s="100">
        <v>0</v>
      </c>
      <c r="AP823" s="100">
        <f t="shared" si="471"/>
        <v>160596</v>
      </c>
      <c r="AQ823" s="101">
        <f t="shared" si="472"/>
        <v>3372515</v>
      </c>
      <c r="AR823" s="101">
        <v>0</v>
      </c>
      <c r="AS823" s="101">
        <v>0</v>
      </c>
      <c r="AT823" s="102" t="s">
        <v>33</v>
      </c>
      <c r="AU823" s="109" t="s">
        <v>118</v>
      </c>
      <c r="AV823" s="100">
        <v>0</v>
      </c>
      <c r="AW823" s="262">
        <v>0</v>
      </c>
      <c r="AX823" s="216">
        <f t="shared" si="480"/>
        <v>3.3512037726482995</v>
      </c>
      <c r="AY823" s="217">
        <f t="shared" si="481"/>
        <v>107638</v>
      </c>
      <c r="AZ823" s="107"/>
      <c r="BA823" s="94">
        <v>45619.0625</v>
      </c>
      <c r="BB823" s="94">
        <v>45619.076388888891</v>
      </c>
      <c r="BC823" s="94">
        <v>45619.076388888891</v>
      </c>
      <c r="BD823" s="94">
        <v>45619.213194444441</v>
      </c>
      <c r="BE823" s="95">
        <f t="shared" si="493"/>
        <v>0.15069444444088731</v>
      </c>
      <c r="BF823" s="95">
        <v>0</v>
      </c>
      <c r="BG823" s="95">
        <v>3.6111111111111108E-2</v>
      </c>
      <c r="BH823" s="95">
        <f t="shared" si="494"/>
        <v>1.3888888890505768E-2</v>
      </c>
      <c r="BI823" s="95">
        <f t="shared" si="494"/>
        <v>0</v>
      </c>
      <c r="BJ823" s="95">
        <f t="shared" si="494"/>
        <v>0.13680555555038154</v>
      </c>
      <c r="BK823" s="95">
        <f t="shared" si="495"/>
        <v>0.13680555555038154</v>
      </c>
      <c r="BL823" s="95">
        <f t="shared" si="496"/>
        <v>0.10069444443927043</v>
      </c>
      <c r="BM823" s="95" t="str">
        <f t="shared" si="497"/>
        <v>00:00</v>
      </c>
      <c r="BN823" s="110"/>
    </row>
    <row r="824" spans="1:66" s="8" customFormat="1" ht="12.75" customHeight="1" x14ac:dyDescent="0.25">
      <c r="A824" s="150">
        <v>754</v>
      </c>
      <c r="B824" s="150">
        <v>63</v>
      </c>
      <c r="C824" s="90">
        <v>17</v>
      </c>
      <c r="D824" s="111" t="s">
        <v>148</v>
      </c>
      <c r="E824" s="210" t="s">
        <v>950</v>
      </c>
      <c r="F824" s="150" t="s">
        <v>16</v>
      </c>
      <c r="G824" s="150" t="s">
        <v>17</v>
      </c>
      <c r="H824" s="150" t="s">
        <v>150</v>
      </c>
      <c r="I824" s="150" t="s">
        <v>306</v>
      </c>
      <c r="J824" s="151">
        <v>45619</v>
      </c>
      <c r="K824" s="135" t="s">
        <v>122</v>
      </c>
      <c r="L824" s="135">
        <v>461000564</v>
      </c>
      <c r="M824" s="151">
        <v>45619</v>
      </c>
      <c r="N824" s="152">
        <v>45619.326388888891</v>
      </c>
      <c r="O824" s="152">
        <v>45619.326388888891</v>
      </c>
      <c r="P824" s="152">
        <v>45619.333333333336</v>
      </c>
      <c r="Q824" s="152">
        <v>45619.489583333336</v>
      </c>
      <c r="R824" s="152" t="s">
        <v>118</v>
      </c>
      <c r="S824" s="152" t="s">
        <v>118</v>
      </c>
      <c r="T824" s="152">
        <v>45619.583333333336</v>
      </c>
      <c r="U824" s="152">
        <v>45619.704861111109</v>
      </c>
      <c r="V824" s="219">
        <f t="shared" si="473"/>
        <v>0.16319444444525288</v>
      </c>
      <c r="W824" s="203">
        <v>0.20833333333333334</v>
      </c>
      <c r="X824" s="219" t="str">
        <f t="shared" si="474"/>
        <v>00:00</v>
      </c>
      <c r="Y824" s="96">
        <v>35</v>
      </c>
      <c r="Z824" s="96">
        <v>23</v>
      </c>
      <c r="AA824" s="96">
        <f t="shared" si="475"/>
        <v>58</v>
      </c>
      <c r="AB824" s="97">
        <f t="shared" si="476"/>
        <v>2399.2439655172411</v>
      </c>
      <c r="AC824" s="97">
        <f t="shared" si="477"/>
        <v>1576.6460344827585</v>
      </c>
      <c r="AD824" s="98">
        <v>3975.89</v>
      </c>
      <c r="AE824" s="98">
        <v>4035.9</v>
      </c>
      <c r="AF824" s="98">
        <v>4043.8</v>
      </c>
      <c r="AG824" s="98">
        <f t="shared" si="478"/>
        <v>67.910000000000309</v>
      </c>
      <c r="AH824" s="99">
        <v>672.5</v>
      </c>
      <c r="AI824" s="100">
        <f t="shared" si="479"/>
        <v>2719455.5</v>
      </c>
      <c r="AJ824" s="100">
        <f t="shared" si="487"/>
        <v>0</v>
      </c>
      <c r="AK824" s="100">
        <v>0</v>
      </c>
      <c r="AL824" s="100">
        <v>24140</v>
      </c>
      <c r="AM824" s="100">
        <v>0</v>
      </c>
      <c r="AN824" s="100">
        <v>0</v>
      </c>
      <c r="AO824" s="100">
        <v>0</v>
      </c>
      <c r="AP824" s="100">
        <f t="shared" si="471"/>
        <v>137180</v>
      </c>
      <c r="AQ824" s="101">
        <f t="shared" si="472"/>
        <v>2880776</v>
      </c>
      <c r="AR824" s="101">
        <v>0</v>
      </c>
      <c r="AS824" s="101">
        <v>0</v>
      </c>
      <c r="AT824" s="102" t="s">
        <v>33</v>
      </c>
      <c r="AU824" s="109">
        <v>3</v>
      </c>
      <c r="AV824" s="100">
        <f>9.14-7.14</f>
        <v>2.0000000000000009</v>
      </c>
      <c r="AW824" s="262">
        <v>0</v>
      </c>
      <c r="AX824" s="216">
        <f t="shared" si="480"/>
        <v>1.6793609970819603</v>
      </c>
      <c r="AY824" s="217">
        <f t="shared" si="481"/>
        <v>45670</v>
      </c>
      <c r="AZ824" s="107"/>
      <c r="BA824" s="94">
        <v>45619.326388888891</v>
      </c>
      <c r="BB824" s="94">
        <v>45619.333333333336</v>
      </c>
      <c r="BC824" s="94">
        <v>45619.333333333336</v>
      </c>
      <c r="BD824" s="94">
        <v>45619.458333333336</v>
      </c>
      <c r="BE824" s="95">
        <f t="shared" si="493"/>
        <v>0.13194444444525288</v>
      </c>
      <c r="BF824" s="95">
        <v>0</v>
      </c>
      <c r="BG824" s="95">
        <v>7.9861111111111105E-2</v>
      </c>
      <c r="BH824" s="95">
        <f t="shared" si="494"/>
        <v>6.9444444452528842E-3</v>
      </c>
      <c r="BI824" s="95">
        <f t="shared" si="494"/>
        <v>0</v>
      </c>
      <c r="BJ824" s="95">
        <f t="shared" si="494"/>
        <v>0.125</v>
      </c>
      <c r="BK824" s="95">
        <f t="shared" si="495"/>
        <v>0.125</v>
      </c>
      <c r="BL824" s="95">
        <f t="shared" si="496"/>
        <v>4.5138888888888895E-2</v>
      </c>
      <c r="BM824" s="95" t="str">
        <f t="shared" si="497"/>
        <v>00:00</v>
      </c>
      <c r="BN824" s="110"/>
    </row>
    <row r="825" spans="1:66" s="8" customFormat="1" ht="12.75" customHeight="1" x14ac:dyDescent="0.25">
      <c r="A825" s="150">
        <v>755</v>
      </c>
      <c r="B825" s="150">
        <v>64</v>
      </c>
      <c r="C825" s="90">
        <v>3</v>
      </c>
      <c r="D825" s="111" t="s">
        <v>113</v>
      </c>
      <c r="E825" s="210" t="s">
        <v>943</v>
      </c>
      <c r="F825" s="150" t="s">
        <v>32</v>
      </c>
      <c r="G825" s="150" t="s">
        <v>15</v>
      </c>
      <c r="H825" s="150" t="s">
        <v>182</v>
      </c>
      <c r="I825" s="150" t="s">
        <v>966</v>
      </c>
      <c r="J825" s="151">
        <v>45619</v>
      </c>
      <c r="K825" s="135" t="s">
        <v>117</v>
      </c>
      <c r="L825" s="135">
        <v>261006100</v>
      </c>
      <c r="M825" s="151">
        <v>45619</v>
      </c>
      <c r="N825" s="152">
        <v>45619.53125</v>
      </c>
      <c r="O825" s="152">
        <v>45619.53125</v>
      </c>
      <c r="P825" s="152">
        <v>45619.534722222219</v>
      </c>
      <c r="Q825" s="152">
        <v>45619.697916666664</v>
      </c>
      <c r="R825" s="152" t="s">
        <v>118</v>
      </c>
      <c r="S825" s="152" t="s">
        <v>118</v>
      </c>
      <c r="T825" s="152">
        <v>45619.75</v>
      </c>
      <c r="U825" s="152">
        <v>45619.811111111114</v>
      </c>
      <c r="V825" s="219">
        <f t="shared" si="473"/>
        <v>0.16666666666424135</v>
      </c>
      <c r="W825" s="203">
        <v>0.20833333333333334</v>
      </c>
      <c r="X825" s="219" t="str">
        <f t="shared" si="474"/>
        <v>00:00</v>
      </c>
      <c r="Y825" s="96">
        <v>0</v>
      </c>
      <c r="Z825" s="96">
        <v>59</v>
      </c>
      <c r="AA825" s="96">
        <f t="shared" si="475"/>
        <v>59</v>
      </c>
      <c r="AB825" s="97">
        <f t="shared" si="476"/>
        <v>0</v>
      </c>
      <c r="AC825" s="97">
        <f t="shared" si="477"/>
        <v>3971.16</v>
      </c>
      <c r="AD825" s="98">
        <v>3971.16</v>
      </c>
      <c r="AE825" s="98">
        <v>4101</v>
      </c>
      <c r="AF825" s="98">
        <v>4101</v>
      </c>
      <c r="AG825" s="98">
        <f t="shared" si="478"/>
        <v>129.84000000000015</v>
      </c>
      <c r="AH825" s="99">
        <v>1484</v>
      </c>
      <c r="AI825" s="100">
        <f t="shared" si="479"/>
        <v>6085884</v>
      </c>
      <c r="AJ825" s="100">
        <f t="shared" si="487"/>
        <v>0</v>
      </c>
      <c r="AK825" s="100">
        <v>0</v>
      </c>
      <c r="AL825" s="100">
        <v>0</v>
      </c>
      <c r="AM825" s="100">
        <v>0</v>
      </c>
      <c r="AN825" s="100">
        <v>0</v>
      </c>
      <c r="AO825" s="100">
        <v>0</v>
      </c>
      <c r="AP825" s="100">
        <f t="shared" si="471"/>
        <v>304295</v>
      </c>
      <c r="AQ825" s="101">
        <f t="shared" si="472"/>
        <v>6390179</v>
      </c>
      <c r="AR825" s="101">
        <v>0</v>
      </c>
      <c r="AS825" s="101">
        <v>0</v>
      </c>
      <c r="AT825" s="102" t="s">
        <v>33</v>
      </c>
      <c r="AU825" s="109" t="s">
        <v>118</v>
      </c>
      <c r="AV825" s="100">
        <v>0</v>
      </c>
      <c r="AW825" s="262">
        <v>0</v>
      </c>
      <c r="AX825" s="216">
        <f t="shared" si="480"/>
        <v>3.166057059253844</v>
      </c>
      <c r="AY825" s="217">
        <f t="shared" si="481"/>
        <v>192683</v>
      </c>
      <c r="AZ825" s="107"/>
      <c r="BA825" s="94">
        <v>45619.510416666664</v>
      </c>
      <c r="BB825" s="94">
        <v>45619.513888888891</v>
      </c>
      <c r="BC825" s="94">
        <v>45619.513888888891</v>
      </c>
      <c r="BD825" s="94">
        <v>45619.647222222222</v>
      </c>
      <c r="BE825" s="95">
        <f t="shared" si="493"/>
        <v>0.1368055555576575</v>
      </c>
      <c r="BF825" s="95">
        <v>0</v>
      </c>
      <c r="BG825" s="95">
        <v>3.125E-2</v>
      </c>
      <c r="BH825" s="95">
        <f t="shared" si="494"/>
        <v>3.4722222262644209E-3</v>
      </c>
      <c r="BI825" s="95">
        <f t="shared" si="494"/>
        <v>0</v>
      </c>
      <c r="BJ825" s="95">
        <f t="shared" si="494"/>
        <v>0.13333333333139308</v>
      </c>
      <c r="BK825" s="95">
        <f t="shared" si="495"/>
        <v>0.13333333333139308</v>
      </c>
      <c r="BL825" s="95">
        <f t="shared" si="496"/>
        <v>0.10208333333139308</v>
      </c>
      <c r="BM825" s="95" t="str">
        <f t="shared" si="497"/>
        <v>00:00</v>
      </c>
      <c r="BN825" s="110"/>
    </row>
    <row r="826" spans="1:66" s="8" customFormat="1" ht="12.75" customHeight="1" x14ac:dyDescent="0.25">
      <c r="A826" s="150">
        <v>756</v>
      </c>
      <c r="B826" s="150">
        <v>65</v>
      </c>
      <c r="C826" s="90">
        <v>18</v>
      </c>
      <c r="D826" s="111" t="s">
        <v>148</v>
      </c>
      <c r="E826" s="210" t="s">
        <v>950</v>
      </c>
      <c r="F826" s="150" t="s">
        <v>16</v>
      </c>
      <c r="G826" s="150" t="s">
        <v>17</v>
      </c>
      <c r="H826" s="150" t="s">
        <v>150</v>
      </c>
      <c r="I826" s="150" t="s">
        <v>307</v>
      </c>
      <c r="J826" s="151">
        <v>45619</v>
      </c>
      <c r="K826" s="135" t="s">
        <v>122</v>
      </c>
      <c r="L826" s="135">
        <v>461000565</v>
      </c>
      <c r="M826" s="151">
        <v>45620</v>
      </c>
      <c r="N826" s="152">
        <v>45619.770833333336</v>
      </c>
      <c r="O826" s="152">
        <v>45619.770833333336</v>
      </c>
      <c r="P826" s="152">
        <v>45619.774305555555</v>
      </c>
      <c r="Q826" s="152">
        <v>45619.9375</v>
      </c>
      <c r="R826" s="152" t="s">
        <v>118</v>
      </c>
      <c r="S826" s="152" t="s">
        <v>118</v>
      </c>
      <c r="T826" s="152">
        <v>45619.979166666664</v>
      </c>
      <c r="U826" s="152">
        <v>45620.229166666664</v>
      </c>
      <c r="V826" s="219">
        <f t="shared" si="473"/>
        <v>0.16666666666424135</v>
      </c>
      <c r="W826" s="203">
        <v>0.20833333333333334</v>
      </c>
      <c r="X826" s="219" t="str">
        <f t="shared" si="474"/>
        <v>00:00</v>
      </c>
      <c r="Y826" s="96">
        <v>49</v>
      </c>
      <c r="Z826" s="96">
        <v>10</v>
      </c>
      <c r="AA826" s="96">
        <f t="shared" si="475"/>
        <v>59</v>
      </c>
      <c r="AB826" s="97">
        <f t="shared" si="476"/>
        <v>3400.0767796610166</v>
      </c>
      <c r="AC826" s="97">
        <f t="shared" si="477"/>
        <v>693.89322033898293</v>
      </c>
      <c r="AD826" s="98">
        <v>4093.97</v>
      </c>
      <c r="AE826" s="98">
        <v>4105</v>
      </c>
      <c r="AF826" s="98">
        <v>4124.6000000000004</v>
      </c>
      <c r="AG826" s="98">
        <f t="shared" si="478"/>
        <v>30.630000000000564</v>
      </c>
      <c r="AH826" s="99">
        <v>672.5</v>
      </c>
      <c r="AI826" s="100">
        <f t="shared" si="479"/>
        <v>2773793.5000000005</v>
      </c>
      <c r="AJ826" s="100">
        <f t="shared" si="487"/>
        <v>0</v>
      </c>
      <c r="AK826" s="100">
        <v>0</v>
      </c>
      <c r="AL826" s="100">
        <v>24290</v>
      </c>
      <c r="AM826" s="100">
        <v>0</v>
      </c>
      <c r="AN826" s="100">
        <v>0</v>
      </c>
      <c r="AO826" s="100">
        <v>0</v>
      </c>
      <c r="AP826" s="100">
        <f t="shared" si="471"/>
        <v>139905</v>
      </c>
      <c r="AQ826" s="101">
        <f t="shared" si="472"/>
        <v>2937989</v>
      </c>
      <c r="AR826" s="101">
        <v>0</v>
      </c>
      <c r="AS826" s="101">
        <v>0</v>
      </c>
      <c r="AT826" s="102" t="s">
        <v>33</v>
      </c>
      <c r="AU826" s="109">
        <v>13</v>
      </c>
      <c r="AV826" s="100">
        <f>31.34-16.34</f>
        <v>15</v>
      </c>
      <c r="AW826" s="262">
        <v>0</v>
      </c>
      <c r="AX826" s="216">
        <f t="shared" si="480"/>
        <v>0.74261746593610434</v>
      </c>
      <c r="AY826" s="217">
        <f t="shared" si="481"/>
        <v>20599</v>
      </c>
      <c r="AZ826" s="107"/>
      <c r="BA826" s="94">
        <v>45619.770833333336</v>
      </c>
      <c r="BB826" s="94">
        <v>45619.774305555555</v>
      </c>
      <c r="BC826" s="94">
        <v>45619.774305555555</v>
      </c>
      <c r="BD826" s="94">
        <v>45619.927083333336</v>
      </c>
      <c r="BE826" s="95">
        <f t="shared" si="493"/>
        <v>0.15625</v>
      </c>
      <c r="BF826" s="95">
        <v>0</v>
      </c>
      <c r="BG826" s="95">
        <v>0.12847222222222221</v>
      </c>
      <c r="BH826" s="95">
        <f t="shared" si="494"/>
        <v>3.4722222189884633E-3</v>
      </c>
      <c r="BI826" s="95">
        <f t="shared" si="494"/>
        <v>0</v>
      </c>
      <c r="BJ826" s="95">
        <f t="shared" si="494"/>
        <v>0.15277777778101154</v>
      </c>
      <c r="BK826" s="95">
        <f t="shared" si="495"/>
        <v>0.15277777778101154</v>
      </c>
      <c r="BL826" s="95">
        <f t="shared" si="496"/>
        <v>2.4305555558789327E-2</v>
      </c>
      <c r="BM826" s="95" t="str">
        <f t="shared" si="497"/>
        <v>00:00</v>
      </c>
      <c r="BN826" s="110"/>
    </row>
    <row r="827" spans="1:66" s="8" customFormat="1" ht="12.75" customHeight="1" x14ac:dyDescent="0.25">
      <c r="A827" s="150">
        <v>757</v>
      </c>
      <c r="B827" s="150">
        <v>66</v>
      </c>
      <c r="C827" s="90">
        <v>3</v>
      </c>
      <c r="D827" s="111" t="s">
        <v>113</v>
      </c>
      <c r="E827" s="210" t="s">
        <v>948</v>
      </c>
      <c r="F827" s="150" t="s">
        <v>14</v>
      </c>
      <c r="G827" s="150" t="s">
        <v>15</v>
      </c>
      <c r="H827" s="150" t="s">
        <v>779</v>
      </c>
      <c r="I827" s="150" t="s">
        <v>967</v>
      </c>
      <c r="J827" s="151">
        <v>45619</v>
      </c>
      <c r="K827" s="135" t="s">
        <v>117</v>
      </c>
      <c r="L827" s="135">
        <v>281000265</v>
      </c>
      <c r="M827" s="151">
        <v>45620</v>
      </c>
      <c r="N827" s="152">
        <v>45620.0625</v>
      </c>
      <c r="O827" s="152">
        <v>45620.0625</v>
      </c>
      <c r="P827" s="152">
        <v>45620.069444444445</v>
      </c>
      <c r="Q827" s="152">
        <v>45620.25</v>
      </c>
      <c r="R827" s="152" t="s">
        <v>118</v>
      </c>
      <c r="S827" s="152" t="s">
        <v>118</v>
      </c>
      <c r="T827" s="152">
        <v>45620.291666666664</v>
      </c>
      <c r="U827" s="152">
        <v>45620.413194444445</v>
      </c>
      <c r="V827" s="219">
        <f t="shared" si="473"/>
        <v>0.1875</v>
      </c>
      <c r="W827" s="203">
        <v>0.20833333333333334</v>
      </c>
      <c r="X827" s="219" t="str">
        <f t="shared" si="474"/>
        <v>00:00</v>
      </c>
      <c r="Y827" s="96">
        <v>1</v>
      </c>
      <c r="Z827" s="96">
        <v>57</v>
      </c>
      <c r="AA827" s="96">
        <f t="shared" si="475"/>
        <v>58</v>
      </c>
      <c r="AB827" s="97">
        <f t="shared" si="476"/>
        <v>67.042931034482748</v>
      </c>
      <c r="AC827" s="97">
        <f t="shared" si="477"/>
        <v>3821.4470689655168</v>
      </c>
      <c r="AD827" s="98">
        <v>3888.49</v>
      </c>
      <c r="AE827" s="98">
        <v>4023</v>
      </c>
      <c r="AF827" s="98">
        <v>4024</v>
      </c>
      <c r="AG827" s="98">
        <f t="shared" si="478"/>
        <v>135.51000000000022</v>
      </c>
      <c r="AH827" s="99">
        <v>1435.6</v>
      </c>
      <c r="AI827" s="100">
        <f t="shared" si="479"/>
        <v>5776854.3999999994</v>
      </c>
      <c r="AJ827" s="100">
        <f t="shared" si="487"/>
        <v>0</v>
      </c>
      <c r="AK827" s="100">
        <v>0</v>
      </c>
      <c r="AL827" s="100">
        <v>24140</v>
      </c>
      <c r="AM827" s="100">
        <v>0</v>
      </c>
      <c r="AN827" s="100">
        <v>0</v>
      </c>
      <c r="AO827" s="100">
        <v>0</v>
      </c>
      <c r="AP827" s="100">
        <f t="shared" si="471"/>
        <v>290050</v>
      </c>
      <c r="AQ827" s="101">
        <f t="shared" si="472"/>
        <v>6091045</v>
      </c>
      <c r="AR827" s="101">
        <v>0</v>
      </c>
      <c r="AS827" s="101">
        <v>0</v>
      </c>
      <c r="AT827" s="102" t="s">
        <v>33</v>
      </c>
      <c r="AU827" s="109">
        <v>1</v>
      </c>
      <c r="AV827" s="100">
        <f>1.6-0.6</f>
        <v>1</v>
      </c>
      <c r="AW827" s="262">
        <v>0</v>
      </c>
      <c r="AX827" s="216">
        <f t="shared" si="480"/>
        <v>3.3675447316103431</v>
      </c>
      <c r="AY827" s="217">
        <f t="shared" si="481"/>
        <v>194539</v>
      </c>
      <c r="AZ827" s="107"/>
      <c r="BA827" s="94">
        <v>45620.0625</v>
      </c>
      <c r="BB827" s="94">
        <v>45620.069444444445</v>
      </c>
      <c r="BC827" s="94">
        <v>45620.069444444445</v>
      </c>
      <c r="BD827" s="94">
        <v>45620.222222222219</v>
      </c>
      <c r="BE827" s="95">
        <f t="shared" si="493"/>
        <v>0.15972222221898846</v>
      </c>
      <c r="BF827" s="95">
        <v>0</v>
      </c>
      <c r="BG827" s="95">
        <v>3.4722222222222224E-2</v>
      </c>
      <c r="BH827" s="95">
        <f t="shared" si="494"/>
        <v>6.9444444452528842E-3</v>
      </c>
      <c r="BI827" s="95">
        <f t="shared" si="494"/>
        <v>0</v>
      </c>
      <c r="BJ827" s="95">
        <f t="shared" si="494"/>
        <v>0.15277777777373558</v>
      </c>
      <c r="BK827" s="95">
        <f t="shared" si="495"/>
        <v>0.15277777777373558</v>
      </c>
      <c r="BL827" s="95">
        <f t="shared" si="496"/>
        <v>0.11805555555151336</v>
      </c>
      <c r="BM827" s="95" t="str">
        <f t="shared" si="497"/>
        <v>00:00</v>
      </c>
      <c r="BN827" s="110"/>
    </row>
    <row r="828" spans="1:66" s="8" customFormat="1" ht="12.75" customHeight="1" x14ac:dyDescent="0.25">
      <c r="A828" s="150">
        <v>758</v>
      </c>
      <c r="B828" s="150">
        <v>67</v>
      </c>
      <c r="C828" s="90">
        <v>3</v>
      </c>
      <c r="D828" s="111" t="s">
        <v>113</v>
      </c>
      <c r="E828" s="210" t="s">
        <v>956</v>
      </c>
      <c r="F828" s="150" t="s">
        <v>41</v>
      </c>
      <c r="G828" s="150" t="s">
        <v>12</v>
      </c>
      <c r="H828" s="150" t="s">
        <v>115</v>
      </c>
      <c r="I828" s="150" t="s">
        <v>444</v>
      </c>
      <c r="J828" s="151">
        <v>45620</v>
      </c>
      <c r="K828" s="135" t="s">
        <v>117</v>
      </c>
      <c r="L828" s="135">
        <v>282001062</v>
      </c>
      <c r="M828" s="151">
        <v>45621</v>
      </c>
      <c r="N828" s="152">
        <v>45620.600694444445</v>
      </c>
      <c r="O828" s="152">
        <v>45620.600694444445</v>
      </c>
      <c r="P828" s="152">
        <v>45620.604166666664</v>
      </c>
      <c r="Q828" s="152">
        <v>45620.802083333336</v>
      </c>
      <c r="R828" s="152" t="s">
        <v>118</v>
      </c>
      <c r="S828" s="152" t="s">
        <v>118</v>
      </c>
      <c r="T828" s="152">
        <v>45620.84375</v>
      </c>
      <c r="U828" s="152">
        <v>45620.993055555555</v>
      </c>
      <c r="V828" s="219">
        <f t="shared" si="473"/>
        <v>0.20138888889050577</v>
      </c>
      <c r="W828" s="203">
        <v>0.20833333333333334</v>
      </c>
      <c r="X828" s="219" t="str">
        <f t="shared" si="474"/>
        <v>00:00</v>
      </c>
      <c r="Y828" s="96">
        <v>0</v>
      </c>
      <c r="Z828" s="96">
        <v>58</v>
      </c>
      <c r="AA828" s="96">
        <f t="shared" si="475"/>
        <v>58</v>
      </c>
      <c r="AB828" s="97">
        <f t="shared" si="476"/>
        <v>0</v>
      </c>
      <c r="AC828" s="97">
        <f t="shared" si="477"/>
        <v>3993.23</v>
      </c>
      <c r="AD828" s="98">
        <v>3993.23</v>
      </c>
      <c r="AE828" s="98">
        <v>4035.9</v>
      </c>
      <c r="AF828" s="98">
        <v>4049.8</v>
      </c>
      <c r="AG828" s="98">
        <f t="shared" si="478"/>
        <v>56.570000000000164</v>
      </c>
      <c r="AH828" s="99">
        <v>1586.7</v>
      </c>
      <c r="AI828" s="100">
        <f t="shared" si="479"/>
        <v>6425817.6600000001</v>
      </c>
      <c r="AJ828" s="100">
        <f t="shared" si="487"/>
        <v>0</v>
      </c>
      <c r="AK828" s="100">
        <v>0</v>
      </c>
      <c r="AL828" s="100">
        <v>24140</v>
      </c>
      <c r="AM828" s="100">
        <v>0</v>
      </c>
      <c r="AN828" s="100">
        <v>0</v>
      </c>
      <c r="AO828" s="100">
        <f>IFERROR(AF828*20+(((AJ828/AH828)/2)*20),0)</f>
        <v>80996</v>
      </c>
      <c r="AP828" s="100">
        <f t="shared" si="471"/>
        <v>326548</v>
      </c>
      <c r="AQ828" s="101">
        <f t="shared" si="472"/>
        <v>6857502</v>
      </c>
      <c r="AR828" s="101">
        <v>0</v>
      </c>
      <c r="AS828" s="101">
        <v>0</v>
      </c>
      <c r="AT828" s="102" t="s">
        <v>33</v>
      </c>
      <c r="AU828" s="109">
        <v>4</v>
      </c>
      <c r="AV828" s="100">
        <f>15.4-12.9</f>
        <v>2.5</v>
      </c>
      <c r="AW828" s="262">
        <v>0</v>
      </c>
      <c r="AX828" s="216">
        <f t="shared" si="480"/>
        <v>1.3968591041532954</v>
      </c>
      <c r="AY828" s="217">
        <f t="shared" si="481"/>
        <v>89760</v>
      </c>
      <c r="AZ828" s="107"/>
      <c r="BA828" s="94">
        <v>45620.600694444445</v>
      </c>
      <c r="BB828" s="94">
        <v>45620.604166666664</v>
      </c>
      <c r="BC828" s="94">
        <v>45620.604166666664</v>
      </c>
      <c r="BD828" s="94">
        <v>45620.798611111109</v>
      </c>
      <c r="BE828" s="95">
        <f t="shared" si="493"/>
        <v>0.19791666666424135</v>
      </c>
      <c r="BF828" s="95">
        <v>0</v>
      </c>
      <c r="BG828" s="95">
        <v>3.3333333333333333E-2</v>
      </c>
      <c r="BH828" s="95">
        <f t="shared" si="494"/>
        <v>3.4722222189884633E-3</v>
      </c>
      <c r="BI828" s="95">
        <f t="shared" si="494"/>
        <v>0</v>
      </c>
      <c r="BJ828" s="95">
        <f t="shared" si="494"/>
        <v>0.19444444444525288</v>
      </c>
      <c r="BK828" s="95">
        <f t="shared" si="495"/>
        <v>0.19444444444525288</v>
      </c>
      <c r="BL828" s="95">
        <f t="shared" si="496"/>
        <v>0.16111111111191956</v>
      </c>
      <c r="BM828" s="95" t="str">
        <f t="shared" si="497"/>
        <v>00:00</v>
      </c>
      <c r="BN828" s="110"/>
    </row>
    <row r="829" spans="1:66" s="8" customFormat="1" ht="12.75" customHeight="1" x14ac:dyDescent="0.25">
      <c r="A829" s="150">
        <v>759</v>
      </c>
      <c r="B829" s="150">
        <v>68</v>
      </c>
      <c r="C829" s="90">
        <v>19</v>
      </c>
      <c r="D829" s="111" t="s">
        <v>148</v>
      </c>
      <c r="E829" s="210" t="s">
        <v>950</v>
      </c>
      <c r="F829" s="150" t="s">
        <v>16</v>
      </c>
      <c r="G829" s="150" t="s">
        <v>17</v>
      </c>
      <c r="H829" s="150" t="s">
        <v>150</v>
      </c>
      <c r="I829" s="150" t="s">
        <v>315</v>
      </c>
      <c r="J829" s="151">
        <v>45620</v>
      </c>
      <c r="K829" s="135" t="s">
        <v>122</v>
      </c>
      <c r="L829" s="135">
        <v>461000566</v>
      </c>
      <c r="M829" s="151">
        <v>45621</v>
      </c>
      <c r="N829" s="152">
        <v>45620.809027777781</v>
      </c>
      <c r="O829" s="152">
        <v>45620.809027777781</v>
      </c>
      <c r="P829" s="152">
        <v>45620.819444444445</v>
      </c>
      <c r="Q829" s="152">
        <v>45620.993055555555</v>
      </c>
      <c r="R829" s="152" t="s">
        <v>118</v>
      </c>
      <c r="S829" s="152" t="s">
        <v>118</v>
      </c>
      <c r="T829" s="152">
        <v>45621.083333333336</v>
      </c>
      <c r="U829" s="152">
        <v>45621.246527777781</v>
      </c>
      <c r="V829" s="219">
        <f t="shared" si="473"/>
        <v>0.18402777777373558</v>
      </c>
      <c r="W829" s="203">
        <v>0.20833333333333334</v>
      </c>
      <c r="X829" s="219" t="str">
        <f t="shared" si="474"/>
        <v>00:00</v>
      </c>
      <c r="Y829" s="96">
        <v>34</v>
      </c>
      <c r="Z829" s="96">
        <v>25</v>
      </c>
      <c r="AA829" s="96">
        <f t="shared" si="475"/>
        <v>59</v>
      </c>
      <c r="AB829" s="97">
        <f t="shared" si="476"/>
        <v>2348.7084745762709</v>
      </c>
      <c r="AC829" s="97">
        <f t="shared" si="477"/>
        <v>1726.9915254237287</v>
      </c>
      <c r="AD829" s="98">
        <v>4075.7</v>
      </c>
      <c r="AE829" s="98">
        <v>4105.8</v>
      </c>
      <c r="AF829" s="98">
        <v>4117</v>
      </c>
      <c r="AG829" s="98">
        <f t="shared" si="478"/>
        <v>41.300000000000182</v>
      </c>
      <c r="AH829" s="99">
        <v>672.5</v>
      </c>
      <c r="AI829" s="100">
        <f t="shared" si="479"/>
        <v>2768682.5</v>
      </c>
      <c r="AJ829" s="100">
        <f t="shared" si="487"/>
        <v>0</v>
      </c>
      <c r="AK829" s="100">
        <v>0</v>
      </c>
      <c r="AL829" s="100">
        <v>24290</v>
      </c>
      <c r="AM829" s="100">
        <v>0</v>
      </c>
      <c r="AN829" s="100">
        <v>0</v>
      </c>
      <c r="AO829" s="100">
        <v>0</v>
      </c>
      <c r="AP829" s="100">
        <f t="shared" si="471"/>
        <v>139649</v>
      </c>
      <c r="AQ829" s="101">
        <f t="shared" si="472"/>
        <v>2932622</v>
      </c>
      <c r="AR829" s="101">
        <v>0</v>
      </c>
      <c r="AS829" s="101">
        <v>0</v>
      </c>
      <c r="AT829" s="102" t="s">
        <v>33</v>
      </c>
      <c r="AU829" s="109">
        <v>6</v>
      </c>
      <c r="AV829" s="100">
        <f>15.14-10.14</f>
        <v>5</v>
      </c>
      <c r="AW829" s="262">
        <v>0</v>
      </c>
      <c r="AX829" s="216">
        <f t="shared" si="480"/>
        <v>1.0031576390575705</v>
      </c>
      <c r="AY829" s="217">
        <f t="shared" si="481"/>
        <v>27775</v>
      </c>
      <c r="AZ829" s="107"/>
      <c r="BA829" s="94">
        <v>45620.809027777781</v>
      </c>
      <c r="BB829" s="94">
        <v>45620.819444444445</v>
      </c>
      <c r="BC829" s="94">
        <v>45620.82916666667</v>
      </c>
      <c r="BD829" s="94">
        <v>45621.013888888891</v>
      </c>
      <c r="BE829" s="95">
        <f t="shared" si="493"/>
        <v>0.20486111110949423</v>
      </c>
      <c r="BF829" s="95">
        <v>0</v>
      </c>
      <c r="BG829" s="95">
        <v>0.13541666666666666</v>
      </c>
      <c r="BH829" s="95">
        <f t="shared" si="494"/>
        <v>1.0416666664241347E-2</v>
      </c>
      <c r="BI829" s="95">
        <f t="shared" si="494"/>
        <v>9.7222222248092294E-3</v>
      </c>
      <c r="BJ829" s="95">
        <f t="shared" si="494"/>
        <v>0.18472222222044365</v>
      </c>
      <c r="BK829" s="95">
        <f t="shared" si="495"/>
        <v>0.19444444444525288</v>
      </c>
      <c r="BL829" s="95">
        <f t="shared" si="496"/>
        <v>5.9027777778586227E-2</v>
      </c>
      <c r="BM829" s="95" t="str">
        <f t="shared" si="497"/>
        <v>00:00</v>
      </c>
      <c r="BN829" s="110"/>
    </row>
    <row r="830" spans="1:66" s="8" customFormat="1" ht="12.75" customHeight="1" x14ac:dyDescent="0.25">
      <c r="A830" s="150">
        <v>760</v>
      </c>
      <c r="B830" s="150">
        <v>69</v>
      </c>
      <c r="C830" s="90">
        <v>4</v>
      </c>
      <c r="D830" s="111" t="s">
        <v>113</v>
      </c>
      <c r="E830" s="210" t="s">
        <v>956</v>
      </c>
      <c r="F830" s="150" t="s">
        <v>41</v>
      </c>
      <c r="G830" s="150" t="s">
        <v>12</v>
      </c>
      <c r="H830" s="150" t="s">
        <v>115</v>
      </c>
      <c r="I830" s="150" t="s">
        <v>968</v>
      </c>
      <c r="J830" s="151">
        <v>45621</v>
      </c>
      <c r="K830" s="135" t="s">
        <v>117</v>
      </c>
      <c r="L830" s="135">
        <v>282001063</v>
      </c>
      <c r="M830" s="151">
        <v>45622</v>
      </c>
      <c r="N830" s="152">
        <v>45621.309027777781</v>
      </c>
      <c r="O830" s="152">
        <v>45621.309027777781</v>
      </c>
      <c r="P830" s="152">
        <v>45621.315972222219</v>
      </c>
      <c r="Q830" s="152">
        <v>45621.489583333336</v>
      </c>
      <c r="R830" s="152" t="s">
        <v>118</v>
      </c>
      <c r="S830" s="152" t="s">
        <v>118</v>
      </c>
      <c r="T830" s="152">
        <v>45621.583333333336</v>
      </c>
      <c r="U830" s="152">
        <v>45621.684027777781</v>
      </c>
      <c r="V830" s="219">
        <f t="shared" si="473"/>
        <v>0.18055555555474712</v>
      </c>
      <c r="W830" s="203">
        <v>0.20833333333333334</v>
      </c>
      <c r="X830" s="219" t="str">
        <f t="shared" si="474"/>
        <v>00:00</v>
      </c>
      <c r="Y830" s="96">
        <v>0</v>
      </c>
      <c r="Z830" s="96">
        <v>59</v>
      </c>
      <c r="AA830" s="96">
        <f t="shared" si="475"/>
        <v>59</v>
      </c>
      <c r="AB830" s="97">
        <f t="shared" si="476"/>
        <v>0</v>
      </c>
      <c r="AC830" s="97">
        <f t="shared" si="477"/>
        <v>4018.54</v>
      </c>
      <c r="AD830" s="98">
        <v>4018.54</v>
      </c>
      <c r="AE830" s="98">
        <v>4096.3999999999996</v>
      </c>
      <c r="AF830" s="98">
        <v>4100.6000000000004</v>
      </c>
      <c r="AG830" s="98">
        <f t="shared" si="478"/>
        <v>82.0600000000004</v>
      </c>
      <c r="AH830" s="99">
        <v>1586.7</v>
      </c>
      <c r="AI830" s="100">
        <f t="shared" si="479"/>
        <v>6506422.0200000005</v>
      </c>
      <c r="AJ830" s="100">
        <f>(0.4*AH830)*2</f>
        <v>1269.3600000000001</v>
      </c>
      <c r="AK830" s="100">
        <v>0</v>
      </c>
      <c r="AL830" s="100">
        <v>0</v>
      </c>
      <c r="AM830" s="100">
        <v>0</v>
      </c>
      <c r="AN830" s="100">
        <v>0</v>
      </c>
      <c r="AO830" s="100">
        <f>IFERROR(AF830*20+(((AJ830/AH830)/2)*20),0)</f>
        <v>82020</v>
      </c>
      <c r="AP830" s="100">
        <f t="shared" si="471"/>
        <v>329486</v>
      </c>
      <c r="AQ830" s="101">
        <f t="shared" si="472"/>
        <v>6919198</v>
      </c>
      <c r="AR830" s="101">
        <v>0</v>
      </c>
      <c r="AS830" s="101">
        <v>0</v>
      </c>
      <c r="AT830" s="102" t="s">
        <v>33</v>
      </c>
      <c r="AU830" s="109" t="s">
        <v>118</v>
      </c>
      <c r="AV830" s="100">
        <v>0</v>
      </c>
      <c r="AW830" s="262">
        <v>0</v>
      </c>
      <c r="AX830" s="216">
        <f t="shared" si="480"/>
        <v>2.0011705604058037</v>
      </c>
      <c r="AY830" s="217">
        <f t="shared" si="481"/>
        <v>130205</v>
      </c>
      <c r="AZ830" s="107"/>
      <c r="BA830" s="94">
        <v>45621.309027777781</v>
      </c>
      <c r="BB830" s="94">
        <v>45621.315972222219</v>
      </c>
      <c r="BC830" s="94">
        <v>45621.315972222219</v>
      </c>
      <c r="BD830" s="94">
        <v>45621.449305555558</v>
      </c>
      <c r="BE830" s="95">
        <f t="shared" si="493"/>
        <v>0.14027777777664596</v>
      </c>
      <c r="BF830" s="95">
        <v>4.8611111111111112E-3</v>
      </c>
      <c r="BG830" s="95">
        <v>0</v>
      </c>
      <c r="BH830" s="95">
        <f t="shared" si="494"/>
        <v>6.9444444379769266E-3</v>
      </c>
      <c r="BI830" s="95">
        <f t="shared" si="494"/>
        <v>0</v>
      </c>
      <c r="BJ830" s="95">
        <f t="shared" si="494"/>
        <v>0.13333333333866904</v>
      </c>
      <c r="BK830" s="95">
        <f t="shared" si="495"/>
        <v>0.13333333333866904</v>
      </c>
      <c r="BL830" s="95">
        <f t="shared" si="496"/>
        <v>0.12847222222755791</v>
      </c>
      <c r="BM830" s="95" t="str">
        <f t="shared" si="497"/>
        <v>00:00</v>
      </c>
      <c r="BN830" s="110"/>
    </row>
    <row r="831" spans="1:66" s="8" customFormat="1" ht="12.75" customHeight="1" x14ac:dyDescent="0.25">
      <c r="A831" s="115">
        <v>761</v>
      </c>
      <c r="B831" s="115">
        <v>70</v>
      </c>
      <c r="C831" s="90">
        <v>29</v>
      </c>
      <c r="D831" s="115" t="s">
        <v>113</v>
      </c>
      <c r="E831" s="210" t="s">
        <v>863</v>
      </c>
      <c r="F831" s="115" t="s">
        <v>32</v>
      </c>
      <c r="G831" s="150" t="s">
        <v>8</v>
      </c>
      <c r="H831" s="115" t="s">
        <v>120</v>
      </c>
      <c r="I831" s="150" t="s">
        <v>969</v>
      </c>
      <c r="J831" s="151">
        <v>45621</v>
      </c>
      <c r="K831" s="116" t="s">
        <v>117</v>
      </c>
      <c r="L831" s="135">
        <v>261006104</v>
      </c>
      <c r="M831" s="151">
        <v>45622</v>
      </c>
      <c r="N831" s="118">
        <v>45621.777777777781</v>
      </c>
      <c r="O831" s="118">
        <v>45621.777777777781</v>
      </c>
      <c r="P831" s="118">
        <v>45621.784722222219</v>
      </c>
      <c r="Q831" s="118">
        <v>45621.986111111109</v>
      </c>
      <c r="R831" s="118" t="s">
        <v>118</v>
      </c>
      <c r="S831" s="118">
        <v>45622.027777777781</v>
      </c>
      <c r="T831" s="118">
        <v>45622.041666666664</v>
      </c>
      <c r="U831" s="118">
        <v>45622.115277777775</v>
      </c>
      <c r="V831" s="119">
        <f t="shared" si="473"/>
        <v>0.20833333332848269</v>
      </c>
      <c r="W831" s="185">
        <v>0.20833333333333334</v>
      </c>
      <c r="X831" s="119" t="str">
        <f t="shared" si="474"/>
        <v>00:00</v>
      </c>
      <c r="Y831" s="96">
        <v>0</v>
      </c>
      <c r="Z831" s="96">
        <v>46</v>
      </c>
      <c r="AA831" s="96">
        <f t="shared" si="475"/>
        <v>46</v>
      </c>
      <c r="AB831" s="97">
        <f t="shared" si="476"/>
        <v>0</v>
      </c>
      <c r="AC831" s="97">
        <f t="shared" si="477"/>
        <v>3132.1400000000003</v>
      </c>
      <c r="AD831" s="98">
        <f>3956.87-824.73</f>
        <v>3132.14</v>
      </c>
      <c r="AE831" s="98">
        <v>3201.8</v>
      </c>
      <c r="AF831" s="98">
        <v>3202.8</v>
      </c>
      <c r="AG831" s="98">
        <f t="shared" si="478"/>
        <v>70.660000000000309</v>
      </c>
      <c r="AH831" s="99">
        <v>1398.7</v>
      </c>
      <c r="AI831" s="100">
        <f t="shared" si="479"/>
        <v>4479756.3600000003</v>
      </c>
      <c r="AJ831" s="100">
        <f t="shared" ref="AJ831:AJ840" si="498">(0*AH831)*2</f>
        <v>0</v>
      </c>
      <c r="AK831" s="100">
        <v>0</v>
      </c>
      <c r="AL831" s="100">
        <v>0</v>
      </c>
      <c r="AM831" s="100">
        <v>0</v>
      </c>
      <c r="AN831" s="100">
        <v>0</v>
      </c>
      <c r="AO831" s="100">
        <v>0</v>
      </c>
      <c r="AP831" s="100">
        <f t="shared" si="471"/>
        <v>223988</v>
      </c>
      <c r="AQ831" s="101">
        <f t="shared" si="472"/>
        <v>4703745</v>
      </c>
      <c r="AR831" s="101">
        <v>0</v>
      </c>
      <c r="AS831" s="101">
        <v>0</v>
      </c>
      <c r="AT831" s="102" t="s">
        <v>33</v>
      </c>
      <c r="AU831" s="120" t="s">
        <v>118</v>
      </c>
      <c r="AV831" s="121">
        <v>0</v>
      </c>
      <c r="AW831" s="139">
        <v>1</v>
      </c>
      <c r="AX831" s="140">
        <f>IFERROR(((AG831+AG832)/(AF831+AF832))*100, "")</f>
        <v>3.6601577717179654</v>
      </c>
      <c r="AY831" s="141">
        <f>ROUNDUP((AG831+AG832)*AH831,0)</f>
        <v>210267</v>
      </c>
      <c r="AZ831" s="107"/>
      <c r="BA831" s="118">
        <v>45621.777777777781</v>
      </c>
      <c r="BB831" s="118">
        <v>45621.784722222219</v>
      </c>
      <c r="BC831" s="118">
        <v>45621.815972222219</v>
      </c>
      <c r="BD831" s="118">
        <v>45622.020833333336</v>
      </c>
      <c r="BE831" s="119">
        <f t="shared" si="493"/>
        <v>0.24305555555474712</v>
      </c>
      <c r="BF831" s="119">
        <v>4.0972222222222222E-2</v>
      </c>
      <c r="BG831" s="119">
        <v>4.8611111111111112E-3</v>
      </c>
      <c r="BH831" s="119">
        <f t="shared" si="494"/>
        <v>6.9444444379769266E-3</v>
      </c>
      <c r="BI831" s="119">
        <f t="shared" si="494"/>
        <v>3.125E-2</v>
      </c>
      <c r="BJ831" s="119">
        <f t="shared" si="494"/>
        <v>0.20486111111677019</v>
      </c>
      <c r="BK831" s="119">
        <f t="shared" si="495"/>
        <v>0.23611111111677019</v>
      </c>
      <c r="BL831" s="119">
        <f t="shared" si="496"/>
        <v>0.19027777778343685</v>
      </c>
      <c r="BM831" s="119">
        <f t="shared" si="497"/>
        <v>3.4722222221413773E-2</v>
      </c>
      <c r="BN831" s="110"/>
    </row>
    <row r="832" spans="1:66" s="8" customFormat="1" ht="12.75" customHeight="1" x14ac:dyDescent="0.25">
      <c r="A832" s="122"/>
      <c r="B832" s="122"/>
      <c r="C832" s="90">
        <v>4</v>
      </c>
      <c r="D832" s="122"/>
      <c r="E832" s="210" t="s">
        <v>943</v>
      </c>
      <c r="F832" s="122"/>
      <c r="G832" s="150" t="s">
        <v>15</v>
      </c>
      <c r="H832" s="122"/>
      <c r="I832" s="150" t="s">
        <v>970</v>
      </c>
      <c r="J832" s="151">
        <v>45621</v>
      </c>
      <c r="K832" s="123"/>
      <c r="L832" s="135">
        <v>261006105</v>
      </c>
      <c r="M832" s="151">
        <v>45622</v>
      </c>
      <c r="N832" s="125"/>
      <c r="O832" s="125"/>
      <c r="P832" s="125"/>
      <c r="Q832" s="125"/>
      <c r="R832" s="125"/>
      <c r="S832" s="125"/>
      <c r="T832" s="125"/>
      <c r="U832" s="125"/>
      <c r="V832" s="126"/>
      <c r="W832" s="189"/>
      <c r="X832" s="126"/>
      <c r="Y832" s="96">
        <v>0</v>
      </c>
      <c r="Z832" s="96">
        <v>13</v>
      </c>
      <c r="AA832" s="96">
        <f t="shared" si="475"/>
        <v>13</v>
      </c>
      <c r="AB832" s="97">
        <f t="shared" si="476"/>
        <v>0</v>
      </c>
      <c r="AC832" s="97">
        <f t="shared" si="477"/>
        <v>824.73</v>
      </c>
      <c r="AD832" s="98">
        <v>824.73</v>
      </c>
      <c r="AE832" s="98">
        <v>904.3</v>
      </c>
      <c r="AF832" s="98">
        <v>904.4</v>
      </c>
      <c r="AG832" s="98">
        <f t="shared" si="478"/>
        <v>79.669999999999959</v>
      </c>
      <c r="AH832" s="99">
        <v>1398.7</v>
      </c>
      <c r="AI832" s="100">
        <f t="shared" si="479"/>
        <v>1264984.28</v>
      </c>
      <c r="AJ832" s="100">
        <f t="shared" si="498"/>
        <v>0</v>
      </c>
      <c r="AK832" s="100">
        <v>0</v>
      </c>
      <c r="AL832" s="100">
        <v>0</v>
      </c>
      <c r="AM832" s="100">
        <v>0</v>
      </c>
      <c r="AN832" s="100">
        <v>0</v>
      </c>
      <c r="AO832" s="100">
        <v>0</v>
      </c>
      <c r="AP832" s="100">
        <f t="shared" si="471"/>
        <v>63250</v>
      </c>
      <c r="AQ832" s="101">
        <f t="shared" si="472"/>
        <v>1328235</v>
      </c>
      <c r="AR832" s="101">
        <v>0</v>
      </c>
      <c r="AS832" s="101">
        <v>0</v>
      </c>
      <c r="AT832" s="102" t="s">
        <v>33</v>
      </c>
      <c r="AU832" s="127"/>
      <c r="AV832" s="128"/>
      <c r="AW832" s="143"/>
      <c r="AX832" s="144"/>
      <c r="AY832" s="145"/>
      <c r="AZ832" s="107"/>
      <c r="BA832" s="125"/>
      <c r="BB832" s="125"/>
      <c r="BC832" s="125"/>
      <c r="BD832" s="125"/>
      <c r="BE832" s="126"/>
      <c r="BF832" s="126"/>
      <c r="BG832" s="126"/>
      <c r="BH832" s="126"/>
      <c r="BI832" s="126"/>
      <c r="BJ832" s="126"/>
      <c r="BK832" s="126"/>
      <c r="BL832" s="126"/>
      <c r="BM832" s="126"/>
      <c r="BN832" s="110"/>
    </row>
    <row r="833" spans="1:66" s="8" customFormat="1" ht="12.75" customHeight="1" x14ac:dyDescent="0.25">
      <c r="A833" s="150">
        <v>762</v>
      </c>
      <c r="B833" s="150">
        <v>71</v>
      </c>
      <c r="C833" s="90">
        <v>11</v>
      </c>
      <c r="D833" s="111" t="s">
        <v>113</v>
      </c>
      <c r="E833" s="210" t="s">
        <v>940</v>
      </c>
      <c r="F833" s="150" t="s">
        <v>29</v>
      </c>
      <c r="G833" s="150" t="s">
        <v>15</v>
      </c>
      <c r="H833" s="150" t="s">
        <v>124</v>
      </c>
      <c r="I833" s="150" t="s">
        <v>971</v>
      </c>
      <c r="J833" s="151"/>
      <c r="K833" s="135" t="s">
        <v>117</v>
      </c>
      <c r="L833" s="135">
        <v>241000418</v>
      </c>
      <c r="M833" s="151">
        <v>45623</v>
      </c>
      <c r="N833" s="152">
        <v>45622.770833333336</v>
      </c>
      <c r="O833" s="152">
        <v>45622.770833333336</v>
      </c>
      <c r="P833" s="152">
        <v>45622.78125</v>
      </c>
      <c r="Q833" s="152">
        <v>45622.979166666664</v>
      </c>
      <c r="R833" s="152" t="s">
        <v>118</v>
      </c>
      <c r="S833" s="152" t="s">
        <v>118</v>
      </c>
      <c r="T833" s="152">
        <v>45623</v>
      </c>
      <c r="U833" s="152">
        <v>45623.100694444445</v>
      </c>
      <c r="V833" s="219">
        <f>+Q833-O833</f>
        <v>0.20833333332848269</v>
      </c>
      <c r="W833" s="203">
        <v>0.20833333333333334</v>
      </c>
      <c r="X833" s="219" t="str">
        <f>IF(VALUE(V833)&lt;=VALUE("05:00"),"00:00",VALUE(V833)-VALUE("05:00"))</f>
        <v>00:00</v>
      </c>
      <c r="Y833" s="96">
        <v>0</v>
      </c>
      <c r="Z833" s="96">
        <v>58</v>
      </c>
      <c r="AA833" s="96">
        <f t="shared" si="475"/>
        <v>58</v>
      </c>
      <c r="AB833" s="97">
        <f t="shared" si="476"/>
        <v>0</v>
      </c>
      <c r="AC833" s="97">
        <f t="shared" si="477"/>
        <v>3924.4000000000005</v>
      </c>
      <c r="AD833" s="98">
        <v>3924.4</v>
      </c>
      <c r="AE833" s="98">
        <v>4060</v>
      </c>
      <c r="AF833" s="98">
        <v>4060</v>
      </c>
      <c r="AG833" s="98">
        <f t="shared" si="478"/>
        <v>135.59999999999991</v>
      </c>
      <c r="AH833" s="99">
        <v>797.2</v>
      </c>
      <c r="AI833" s="100">
        <f t="shared" si="479"/>
        <v>3236632</v>
      </c>
      <c r="AJ833" s="100">
        <f t="shared" si="498"/>
        <v>0</v>
      </c>
      <c r="AK833" s="100">
        <v>0</v>
      </c>
      <c r="AL833" s="100">
        <v>0</v>
      </c>
      <c r="AM833" s="100">
        <v>0</v>
      </c>
      <c r="AN833" s="100">
        <v>0</v>
      </c>
      <c r="AO833" s="100">
        <v>0</v>
      </c>
      <c r="AP833" s="100">
        <f t="shared" si="471"/>
        <v>161832</v>
      </c>
      <c r="AQ833" s="101">
        <f t="shared" si="472"/>
        <v>3398464</v>
      </c>
      <c r="AR833" s="101">
        <v>0</v>
      </c>
      <c r="AS833" s="101">
        <v>0</v>
      </c>
      <c r="AT833" s="102" t="s">
        <v>33</v>
      </c>
      <c r="AU833" s="109" t="s">
        <v>118</v>
      </c>
      <c r="AV833" s="100">
        <v>0</v>
      </c>
      <c r="AW833" s="262">
        <v>0</v>
      </c>
      <c r="AX833" s="216">
        <f>IFERROR((AG833/AF833)*100, "")</f>
        <v>3.3399014778325102</v>
      </c>
      <c r="AY833" s="217">
        <f>ROUNDUP(AG833*AH833,0)</f>
        <v>108101</v>
      </c>
      <c r="AZ833" s="107"/>
      <c r="BA833" s="94">
        <v>45622.770833333336</v>
      </c>
      <c r="BB833" s="94">
        <v>45622.78125</v>
      </c>
      <c r="BC833" s="94">
        <v>45622.78125</v>
      </c>
      <c r="BD833" s="94">
        <v>45622.986111111109</v>
      </c>
      <c r="BE833" s="95">
        <f>+BD833-BA833</f>
        <v>0.21527777777373558</v>
      </c>
      <c r="BF833" s="95">
        <v>4.3055555555555555E-2</v>
      </c>
      <c r="BG833" s="95">
        <v>4.5138888888888888E-2</v>
      </c>
      <c r="BH833" s="95">
        <f t="shared" ref="BH833:BJ836" si="499">+BB833-BA833</f>
        <v>1.0416666664241347E-2</v>
      </c>
      <c r="BI833" s="95">
        <f t="shared" si="499"/>
        <v>0</v>
      </c>
      <c r="BJ833" s="95">
        <f t="shared" si="499"/>
        <v>0.20486111110949423</v>
      </c>
      <c r="BK833" s="95">
        <f>+BI833+BJ833</f>
        <v>0.20486111110949423</v>
      </c>
      <c r="BL833" s="95">
        <f>+BE833-BH833-BF833-BG833</f>
        <v>0.11666666666504977</v>
      </c>
      <c r="BM833" s="95">
        <f>IF(VALUE(BE833)&lt;=VALUE("05:00"),"00:00",VALUE(BE833)-VALUE("05:00"))</f>
        <v>6.9444444404022365E-3</v>
      </c>
      <c r="BN833" s="110"/>
    </row>
    <row r="834" spans="1:66" s="8" customFormat="1" ht="12.75" customHeight="1" x14ac:dyDescent="0.25">
      <c r="A834" s="150">
        <v>763</v>
      </c>
      <c r="B834" s="150">
        <v>72</v>
      </c>
      <c r="C834" s="90">
        <v>5</v>
      </c>
      <c r="D834" s="111" t="s">
        <v>113</v>
      </c>
      <c r="E834" s="210" t="s">
        <v>956</v>
      </c>
      <c r="F834" s="150" t="s">
        <v>41</v>
      </c>
      <c r="G834" s="150" t="s">
        <v>12</v>
      </c>
      <c r="H834" s="150" t="s">
        <v>115</v>
      </c>
      <c r="I834" s="150" t="s">
        <v>972</v>
      </c>
      <c r="J834" s="151">
        <v>45623</v>
      </c>
      <c r="K834" s="135" t="s">
        <v>117</v>
      </c>
      <c r="L834" s="135">
        <v>282001064</v>
      </c>
      <c r="M834" s="151">
        <v>45624</v>
      </c>
      <c r="N834" s="152">
        <v>45623.336805555555</v>
      </c>
      <c r="O834" s="152">
        <v>45623.336805555555</v>
      </c>
      <c r="P834" s="152">
        <v>45623.34375</v>
      </c>
      <c r="Q834" s="152">
        <v>45623.5</v>
      </c>
      <c r="R834" s="152" t="s">
        <v>118</v>
      </c>
      <c r="S834" s="152" t="s">
        <v>118</v>
      </c>
      <c r="T834" s="152">
        <v>45623.604166666664</v>
      </c>
      <c r="U834" s="152">
        <v>45623.829861111109</v>
      </c>
      <c r="V834" s="219">
        <f>+Q834-O834</f>
        <v>0.16319444444525288</v>
      </c>
      <c r="W834" s="203">
        <v>0.20833333333333334</v>
      </c>
      <c r="X834" s="219" t="str">
        <f>IF(VALUE(V834)&lt;=VALUE("05:00"),"00:00",VALUE(V834)-VALUE("05:00"))</f>
        <v>00:00</v>
      </c>
      <c r="Y834" s="96">
        <v>0</v>
      </c>
      <c r="Z834" s="96">
        <v>59</v>
      </c>
      <c r="AA834" s="96">
        <f t="shared" si="475"/>
        <v>59</v>
      </c>
      <c r="AB834" s="97">
        <f t="shared" si="476"/>
        <v>0</v>
      </c>
      <c r="AC834" s="97">
        <f t="shared" si="477"/>
        <v>3982.57</v>
      </c>
      <c r="AD834" s="98">
        <v>3982.57</v>
      </c>
      <c r="AE834" s="98">
        <v>4089</v>
      </c>
      <c r="AF834" s="98">
        <v>4090.4</v>
      </c>
      <c r="AG834" s="98">
        <f t="shared" si="478"/>
        <v>107.82999999999993</v>
      </c>
      <c r="AH834" s="99">
        <v>1586.7</v>
      </c>
      <c r="AI834" s="100">
        <f t="shared" si="479"/>
        <v>6490237.6800000006</v>
      </c>
      <c r="AJ834" s="100">
        <f t="shared" si="498"/>
        <v>0</v>
      </c>
      <c r="AK834" s="100">
        <v>0</v>
      </c>
      <c r="AL834" s="100">
        <v>0</v>
      </c>
      <c r="AM834" s="100">
        <v>0</v>
      </c>
      <c r="AN834" s="100">
        <v>0</v>
      </c>
      <c r="AO834" s="100">
        <f>IFERROR(AF834*20+(((AJ834/AH834)/2)*20),0)</f>
        <v>81808</v>
      </c>
      <c r="AP834" s="100">
        <f t="shared" si="471"/>
        <v>328603</v>
      </c>
      <c r="AQ834" s="101">
        <f t="shared" si="472"/>
        <v>6900649</v>
      </c>
      <c r="AR834" s="101">
        <v>0</v>
      </c>
      <c r="AS834" s="101">
        <v>0</v>
      </c>
      <c r="AT834" s="102" t="s">
        <v>33</v>
      </c>
      <c r="AU834" s="109" t="s">
        <v>118</v>
      </c>
      <c r="AV834" s="100">
        <v>0</v>
      </c>
      <c r="AW834" s="262">
        <v>0</v>
      </c>
      <c r="AX834" s="216">
        <f>IFERROR((AG834/AF834)*100, "")</f>
        <v>2.6361725014668473</v>
      </c>
      <c r="AY834" s="217">
        <f>ROUNDUP(AG834*AH834,0)</f>
        <v>171094</v>
      </c>
      <c r="AZ834" s="107"/>
      <c r="BA834" s="94">
        <v>45623.336805555555</v>
      </c>
      <c r="BB834" s="94">
        <v>45623.34375</v>
      </c>
      <c r="BC834" s="94">
        <v>45623.347222222219</v>
      </c>
      <c r="BD834" s="94">
        <v>45623.501388888886</v>
      </c>
      <c r="BE834" s="95">
        <f>+BD834-BA834</f>
        <v>0.16458333333139308</v>
      </c>
      <c r="BF834" s="95">
        <v>0</v>
      </c>
      <c r="BG834" s="95">
        <v>1.7361111111111112E-2</v>
      </c>
      <c r="BH834" s="95">
        <f t="shared" si="499"/>
        <v>6.9444444452528842E-3</v>
      </c>
      <c r="BI834" s="95">
        <f t="shared" si="499"/>
        <v>3.4722222189884633E-3</v>
      </c>
      <c r="BJ834" s="95">
        <f t="shared" si="499"/>
        <v>0.15416666666715173</v>
      </c>
      <c r="BK834" s="95">
        <f>+BI834+BJ834</f>
        <v>0.15763888888614019</v>
      </c>
      <c r="BL834" s="95">
        <f>+BE834-BH834-BF834-BG834</f>
        <v>0.14027777777502909</v>
      </c>
      <c r="BM834" s="95" t="str">
        <f>IF(VALUE(BE834)&lt;=VALUE("05:00"),"00:00",VALUE(BE834)-VALUE("05:00"))</f>
        <v>00:00</v>
      </c>
      <c r="BN834" s="110"/>
    </row>
    <row r="835" spans="1:66" s="8" customFormat="1" ht="12.75" customHeight="1" x14ac:dyDescent="0.25">
      <c r="A835" s="150">
        <v>764</v>
      </c>
      <c r="B835" s="150">
        <v>73</v>
      </c>
      <c r="C835" s="90">
        <v>12</v>
      </c>
      <c r="D835" s="111" t="s">
        <v>113</v>
      </c>
      <c r="E835" s="210" t="s">
        <v>940</v>
      </c>
      <c r="F835" s="150" t="s">
        <v>29</v>
      </c>
      <c r="G835" s="150" t="s">
        <v>15</v>
      </c>
      <c r="H835" s="150" t="s">
        <v>124</v>
      </c>
      <c r="I835" s="150" t="s">
        <v>973</v>
      </c>
      <c r="J835" s="151">
        <v>45623</v>
      </c>
      <c r="K835" s="135" t="s">
        <v>117</v>
      </c>
      <c r="L835" s="135">
        <v>261006109</v>
      </c>
      <c r="M835" s="151">
        <v>45624</v>
      </c>
      <c r="N835" s="152">
        <v>45623.850694444445</v>
      </c>
      <c r="O835" s="152">
        <v>45623.850694444445</v>
      </c>
      <c r="P835" s="152">
        <v>45623.864583333336</v>
      </c>
      <c r="Q835" s="152">
        <v>45624.052083333336</v>
      </c>
      <c r="R835" s="152" t="s">
        <v>118</v>
      </c>
      <c r="S835" s="152" t="s">
        <v>118</v>
      </c>
      <c r="T835" s="152">
        <v>45624.125</v>
      </c>
      <c r="U835" s="152">
        <v>45624.215277777781</v>
      </c>
      <c r="V835" s="219">
        <f>+Q835-O835</f>
        <v>0.20138888889050577</v>
      </c>
      <c r="W835" s="203">
        <v>0.20833333333333334</v>
      </c>
      <c r="X835" s="219" t="str">
        <f>IF(VALUE(V835)&lt;=VALUE("05:00"),"00:00",VALUE(V835)-VALUE("05:00"))</f>
        <v>00:00</v>
      </c>
      <c r="Y835" s="96">
        <v>0</v>
      </c>
      <c r="Z835" s="96">
        <v>58</v>
      </c>
      <c r="AA835" s="96">
        <f t="shared" si="475"/>
        <v>58</v>
      </c>
      <c r="AB835" s="97">
        <f t="shared" si="476"/>
        <v>0</v>
      </c>
      <c r="AC835" s="97">
        <f t="shared" si="477"/>
        <v>3916.55</v>
      </c>
      <c r="AD835" s="98">
        <v>3916.55</v>
      </c>
      <c r="AE835" s="98">
        <v>4050</v>
      </c>
      <c r="AF835" s="98">
        <v>4050</v>
      </c>
      <c r="AG835" s="98">
        <f t="shared" si="478"/>
        <v>133.44999999999982</v>
      </c>
      <c r="AH835" s="99">
        <v>797.2</v>
      </c>
      <c r="AI835" s="100">
        <f t="shared" si="479"/>
        <v>3228660</v>
      </c>
      <c r="AJ835" s="100">
        <f t="shared" si="498"/>
        <v>0</v>
      </c>
      <c r="AK835" s="100">
        <v>0</v>
      </c>
      <c r="AL835" s="100">
        <v>0</v>
      </c>
      <c r="AM835" s="100">
        <v>0</v>
      </c>
      <c r="AN835" s="100">
        <v>0</v>
      </c>
      <c r="AO835" s="100">
        <v>0</v>
      </c>
      <c r="AP835" s="100">
        <f t="shared" si="471"/>
        <v>161433</v>
      </c>
      <c r="AQ835" s="101">
        <f t="shared" si="472"/>
        <v>3390093</v>
      </c>
      <c r="AR835" s="101">
        <v>0</v>
      </c>
      <c r="AS835" s="101">
        <v>0</v>
      </c>
      <c r="AT835" s="102" t="s">
        <v>33</v>
      </c>
      <c r="AU835" s="109" t="s">
        <v>118</v>
      </c>
      <c r="AV835" s="100">
        <v>0</v>
      </c>
      <c r="AW835" s="262">
        <v>0</v>
      </c>
      <c r="AX835" s="216">
        <f>IFERROR((AG835/AF835)*100, "")</f>
        <v>3.2950617283950572</v>
      </c>
      <c r="AY835" s="217">
        <f>ROUNDUP(AG835*AH835,0)</f>
        <v>106387</v>
      </c>
      <c r="AZ835" s="107"/>
      <c r="BA835" s="94">
        <v>45623.850694444445</v>
      </c>
      <c r="BB835" s="94">
        <v>45623.864583333336</v>
      </c>
      <c r="BC835" s="94">
        <v>45623.864583333336</v>
      </c>
      <c r="BD835" s="94">
        <v>45624.03125</v>
      </c>
      <c r="BE835" s="95">
        <f>+BD835-BA835</f>
        <v>0.18055555555474712</v>
      </c>
      <c r="BF835" s="95">
        <v>0</v>
      </c>
      <c r="BG835" s="95">
        <v>5.0694444444444445E-2</v>
      </c>
      <c r="BH835" s="95">
        <f t="shared" si="499"/>
        <v>1.3888888890505768E-2</v>
      </c>
      <c r="BI835" s="95">
        <f t="shared" si="499"/>
        <v>0</v>
      </c>
      <c r="BJ835" s="95">
        <f t="shared" si="499"/>
        <v>0.16666666666424135</v>
      </c>
      <c r="BK835" s="95">
        <f>+BI835+BJ835</f>
        <v>0.16666666666424135</v>
      </c>
      <c r="BL835" s="95">
        <f>+BE835-BH835-BF835-BG835</f>
        <v>0.1159722222197969</v>
      </c>
      <c r="BM835" s="95" t="str">
        <f>IF(VALUE(BE835)&lt;=VALUE("05:00"),"00:00",VALUE(BE835)-VALUE("05:00"))</f>
        <v>00:00</v>
      </c>
      <c r="BN835" s="110"/>
    </row>
    <row r="836" spans="1:66" s="8" customFormat="1" ht="12.75" customHeight="1" x14ac:dyDescent="0.25">
      <c r="A836" s="115">
        <v>765</v>
      </c>
      <c r="B836" s="115">
        <v>74</v>
      </c>
      <c r="C836" s="90">
        <v>20</v>
      </c>
      <c r="D836" s="115" t="s">
        <v>148</v>
      </c>
      <c r="E836" s="210" t="s">
        <v>950</v>
      </c>
      <c r="F836" s="115" t="s">
        <v>16</v>
      </c>
      <c r="G836" s="115" t="s">
        <v>17</v>
      </c>
      <c r="H836" s="115" t="s">
        <v>150</v>
      </c>
      <c r="I836" s="115" t="s">
        <v>318</v>
      </c>
      <c r="J836" s="117">
        <v>45624</v>
      </c>
      <c r="K836" s="116" t="s">
        <v>122</v>
      </c>
      <c r="L836" s="116">
        <v>461000567</v>
      </c>
      <c r="M836" s="117">
        <v>45624</v>
      </c>
      <c r="N836" s="118">
        <v>45624.517361111109</v>
      </c>
      <c r="O836" s="118">
        <v>45624.517361111109</v>
      </c>
      <c r="P836" s="118">
        <v>45624.524305555555</v>
      </c>
      <c r="Q836" s="118">
        <v>45624.6875</v>
      </c>
      <c r="R836" s="118" t="s">
        <v>118</v>
      </c>
      <c r="S836" s="118" t="s">
        <v>118</v>
      </c>
      <c r="T836" s="118">
        <v>45624.708333333336</v>
      </c>
      <c r="U836" s="118">
        <v>45624.819444444445</v>
      </c>
      <c r="V836" s="119">
        <f>+Q836-O836</f>
        <v>0.17013888889050577</v>
      </c>
      <c r="W836" s="119">
        <v>0.20833333333333334</v>
      </c>
      <c r="X836" s="119" t="str">
        <f>IF(VALUE(V836)&lt;=VALUE("05:00"),"00:00",VALUE(V836)-VALUE("05:00"))</f>
        <v>00:00</v>
      </c>
      <c r="Y836" s="96">
        <v>0</v>
      </c>
      <c r="Z836" s="96">
        <v>20</v>
      </c>
      <c r="AA836" s="96">
        <f t="shared" si="475"/>
        <v>20</v>
      </c>
      <c r="AB836" s="97">
        <f t="shared" si="476"/>
        <v>0</v>
      </c>
      <c r="AC836" s="97">
        <f t="shared" si="477"/>
        <v>1370.9499999999998</v>
      </c>
      <c r="AD836" s="98">
        <f>4119.78-2748.83</f>
        <v>1370.9499999999998</v>
      </c>
      <c r="AE836" s="98">
        <f>4098.4-2705</f>
        <v>1393.3999999999996</v>
      </c>
      <c r="AF836" s="98">
        <f>4131.4-2748.83</f>
        <v>1382.5699999999997</v>
      </c>
      <c r="AG836" s="98">
        <f t="shared" si="478"/>
        <v>11.619999999999891</v>
      </c>
      <c r="AH836" s="99">
        <v>672.5</v>
      </c>
      <c r="AI836" s="100">
        <f t="shared" si="479"/>
        <v>929778.32499999984</v>
      </c>
      <c r="AJ836" s="100">
        <f t="shared" si="498"/>
        <v>0</v>
      </c>
      <c r="AK836" s="100">
        <v>0</v>
      </c>
      <c r="AL836" s="100">
        <v>24290</v>
      </c>
      <c r="AM836" s="100">
        <v>0</v>
      </c>
      <c r="AN836" s="100">
        <v>0</v>
      </c>
      <c r="AO836" s="100">
        <v>0</v>
      </c>
      <c r="AP836" s="100">
        <f>ROUNDUP(SUM(AI836:AO836)*5%,0)-1</f>
        <v>47703</v>
      </c>
      <c r="AQ836" s="101">
        <f>ROUNDUP(SUM(AI836:AP836),0)-1</f>
        <v>1001771</v>
      </c>
      <c r="AR836" s="101">
        <v>0</v>
      </c>
      <c r="AS836" s="101">
        <v>0</v>
      </c>
      <c r="AT836" s="137" t="s">
        <v>33</v>
      </c>
      <c r="AU836" s="120">
        <v>20</v>
      </c>
      <c r="AV836" s="121">
        <f>46.29-29.29</f>
        <v>17</v>
      </c>
      <c r="AW836" s="262">
        <v>0</v>
      </c>
      <c r="AX836" s="140">
        <f>IFERROR(((AG836+AG837)/(AF836+AF837))*100, "")</f>
        <v>0.28126058963063105</v>
      </c>
      <c r="AY836" s="141">
        <f>ROUNDUP((AG836+AG837)*AH836,0)</f>
        <v>7815</v>
      </c>
      <c r="AZ836" s="107"/>
      <c r="BA836" s="118">
        <v>45624.517361111109</v>
      </c>
      <c r="BB836" s="118">
        <v>45624.524305555555</v>
      </c>
      <c r="BC836" s="118">
        <v>45624.524305555555</v>
      </c>
      <c r="BD836" s="118">
        <v>45624.679166666669</v>
      </c>
      <c r="BE836" s="119">
        <f>+BD836-BA836</f>
        <v>0.16180555555911269</v>
      </c>
      <c r="BF836" s="119">
        <v>0</v>
      </c>
      <c r="BG836" s="119">
        <v>1.1111111111111112E-2</v>
      </c>
      <c r="BH836" s="119">
        <f t="shared" si="499"/>
        <v>6.9444444452528842E-3</v>
      </c>
      <c r="BI836" s="119">
        <f t="shared" si="499"/>
        <v>0</v>
      </c>
      <c r="BJ836" s="119">
        <f t="shared" si="499"/>
        <v>0.15486111111385981</v>
      </c>
      <c r="BK836" s="119">
        <f>+BI836+BJ836</f>
        <v>0.15486111111385981</v>
      </c>
      <c r="BL836" s="119">
        <f>+BE836-BH836-BF836-BG836</f>
        <v>0.14375000000274871</v>
      </c>
      <c r="BM836" s="119" t="str">
        <f>IF(VALUE(BE836)&lt;=VALUE("05:00"),"00:00",VALUE(BE836)-VALUE("05:00"))</f>
        <v>00:00</v>
      </c>
      <c r="BN836" s="110" t="s">
        <v>974</v>
      </c>
    </row>
    <row r="837" spans="1:66" s="8" customFormat="1" ht="12.75" customHeight="1" x14ac:dyDescent="0.25">
      <c r="A837" s="122"/>
      <c r="B837" s="122"/>
      <c r="C837" s="90">
        <v>1</v>
      </c>
      <c r="D837" s="122"/>
      <c r="E837" s="210" t="s">
        <v>975</v>
      </c>
      <c r="F837" s="122"/>
      <c r="G837" s="122"/>
      <c r="H837" s="122"/>
      <c r="I837" s="122"/>
      <c r="J837" s="124"/>
      <c r="K837" s="123"/>
      <c r="L837" s="123"/>
      <c r="M837" s="124"/>
      <c r="N837" s="125"/>
      <c r="O837" s="125"/>
      <c r="P837" s="125"/>
      <c r="Q837" s="125"/>
      <c r="R837" s="125"/>
      <c r="S837" s="125"/>
      <c r="T837" s="125"/>
      <c r="U837" s="125"/>
      <c r="V837" s="126"/>
      <c r="W837" s="126"/>
      <c r="X837" s="126"/>
      <c r="Y837" s="96">
        <v>0</v>
      </c>
      <c r="Z837" s="96">
        <v>39</v>
      </c>
      <c r="AA837" s="96">
        <f t="shared" si="475"/>
        <v>39</v>
      </c>
      <c r="AB837" s="97">
        <f t="shared" si="476"/>
        <v>0</v>
      </c>
      <c r="AC837" s="97">
        <f t="shared" si="477"/>
        <v>2748.83</v>
      </c>
      <c r="AD837" s="98">
        <v>2748.83</v>
      </c>
      <c r="AE837" s="98">
        <v>2705</v>
      </c>
      <c r="AF837" s="98">
        <v>2748.83</v>
      </c>
      <c r="AG837" s="98">
        <f t="shared" si="478"/>
        <v>0</v>
      </c>
      <c r="AH837" s="99">
        <v>672.5</v>
      </c>
      <c r="AI837" s="100">
        <f t="shared" si="479"/>
        <v>1848588.175</v>
      </c>
      <c r="AJ837" s="100">
        <f t="shared" si="498"/>
        <v>0</v>
      </c>
      <c r="AK837" s="100">
        <v>0</v>
      </c>
      <c r="AL837" s="100">
        <v>0</v>
      </c>
      <c r="AM837" s="100">
        <v>0</v>
      </c>
      <c r="AN837" s="100">
        <v>0</v>
      </c>
      <c r="AO837" s="100">
        <v>0</v>
      </c>
      <c r="AP837" s="100">
        <f t="shared" ref="AP837:AP856" si="500">ROUNDUP(SUM(AI837:AO837)*5%,0)</f>
        <v>92430</v>
      </c>
      <c r="AQ837" s="101">
        <f t="shared" ref="AQ837:AQ856" si="501">ROUNDUP(SUM(AI837:AP837),0)</f>
        <v>1941019</v>
      </c>
      <c r="AR837" s="101">
        <v>0</v>
      </c>
      <c r="AS837" s="101">
        <v>0</v>
      </c>
      <c r="AT837" s="138"/>
      <c r="AU837" s="127"/>
      <c r="AV837" s="128"/>
      <c r="AW837" s="262">
        <v>0</v>
      </c>
      <c r="AX837" s="144"/>
      <c r="AY837" s="145"/>
      <c r="AZ837" s="107"/>
      <c r="BA837" s="125"/>
      <c r="BB837" s="125"/>
      <c r="BC837" s="125"/>
      <c r="BD837" s="125"/>
      <c r="BE837" s="126"/>
      <c r="BF837" s="126"/>
      <c r="BG837" s="126"/>
      <c r="BH837" s="126"/>
      <c r="BI837" s="126"/>
      <c r="BJ837" s="126"/>
      <c r="BK837" s="126"/>
      <c r="BL837" s="126"/>
      <c r="BM837" s="126"/>
      <c r="BN837" s="110" t="s">
        <v>976</v>
      </c>
    </row>
    <row r="838" spans="1:66" s="8" customFormat="1" ht="12.75" customHeight="1" x14ac:dyDescent="0.25">
      <c r="A838" s="150">
        <v>766</v>
      </c>
      <c r="B838" s="150">
        <v>75</v>
      </c>
      <c r="C838" s="90">
        <v>2</v>
      </c>
      <c r="D838" s="111" t="s">
        <v>148</v>
      </c>
      <c r="E838" s="210" t="s">
        <v>975</v>
      </c>
      <c r="F838" s="150" t="s">
        <v>16</v>
      </c>
      <c r="G838" s="150" t="s">
        <v>17</v>
      </c>
      <c r="H838" s="150" t="s">
        <v>150</v>
      </c>
      <c r="I838" s="150" t="s">
        <v>322</v>
      </c>
      <c r="J838" s="151">
        <v>45624</v>
      </c>
      <c r="K838" s="135" t="s">
        <v>117</v>
      </c>
      <c r="L838" s="135">
        <v>461000568</v>
      </c>
      <c r="M838" s="151">
        <v>45625</v>
      </c>
      <c r="N838" s="152">
        <v>45624.677083333336</v>
      </c>
      <c r="O838" s="152">
        <v>45624.677083333336</v>
      </c>
      <c r="P838" s="152">
        <v>45624.680555555555</v>
      </c>
      <c r="Q838" s="152">
        <v>45624.854166666664</v>
      </c>
      <c r="R838" s="152" t="s">
        <v>118</v>
      </c>
      <c r="S838" s="152" t="s">
        <v>118</v>
      </c>
      <c r="T838" s="152">
        <v>45624.9375</v>
      </c>
      <c r="U838" s="152">
        <v>45625.104166666664</v>
      </c>
      <c r="V838" s="219">
        <f t="shared" ref="V838:V857" si="502">+Q838-O838</f>
        <v>0.17708333332848269</v>
      </c>
      <c r="W838" s="203">
        <v>0.20833333333333334</v>
      </c>
      <c r="X838" s="219" t="str">
        <f t="shared" ref="X838:X857" si="503">IF(VALUE(V838)&lt;=VALUE("05:00"),"00:00",VALUE(V838)-VALUE("05:00"))</f>
        <v>00:00</v>
      </c>
      <c r="Y838" s="96">
        <v>0</v>
      </c>
      <c r="Z838" s="96">
        <v>58</v>
      </c>
      <c r="AA838" s="96">
        <f t="shared" si="475"/>
        <v>58</v>
      </c>
      <c r="AB838" s="97">
        <f t="shared" si="476"/>
        <v>0</v>
      </c>
      <c r="AC838" s="97">
        <f t="shared" si="477"/>
        <v>4077.23</v>
      </c>
      <c r="AD838" s="98">
        <v>4077.23</v>
      </c>
      <c r="AE838" s="98">
        <v>4041.4</v>
      </c>
      <c r="AF838" s="98">
        <v>4086</v>
      </c>
      <c r="AG838" s="98">
        <f t="shared" si="478"/>
        <v>8.7699999999999818</v>
      </c>
      <c r="AH838" s="99">
        <v>672.5</v>
      </c>
      <c r="AI838" s="100">
        <f t="shared" si="479"/>
        <v>2747835</v>
      </c>
      <c r="AJ838" s="100">
        <f t="shared" si="498"/>
        <v>0</v>
      </c>
      <c r="AK838" s="100">
        <v>0</v>
      </c>
      <c r="AL838" s="100">
        <v>24140</v>
      </c>
      <c r="AM838" s="100">
        <v>0</v>
      </c>
      <c r="AN838" s="100">
        <v>0</v>
      </c>
      <c r="AO838" s="100">
        <v>0</v>
      </c>
      <c r="AP838" s="100">
        <f t="shared" si="500"/>
        <v>138599</v>
      </c>
      <c r="AQ838" s="101">
        <f t="shared" si="501"/>
        <v>2910574</v>
      </c>
      <c r="AR838" s="101">
        <v>0</v>
      </c>
      <c r="AS838" s="101">
        <v>0</v>
      </c>
      <c r="AT838" s="102" t="s">
        <v>33</v>
      </c>
      <c r="AU838" s="109">
        <v>31</v>
      </c>
      <c r="AV838" s="100">
        <f>60.35-38.35</f>
        <v>22</v>
      </c>
      <c r="AW838" s="262">
        <v>0</v>
      </c>
      <c r="AX838" s="216">
        <f t="shared" ref="AX838:AX856" si="504">IFERROR((AG838/AF838)*100, "")</f>
        <v>0.21463534018600056</v>
      </c>
      <c r="AY838" s="217">
        <f t="shared" ref="AY838:AY856" si="505">ROUNDUP(AG838*AH838,0)</f>
        <v>5898</v>
      </c>
      <c r="AZ838" s="107"/>
      <c r="BA838" s="94">
        <v>45624.677083333336</v>
      </c>
      <c r="BB838" s="94">
        <v>45624.680555555555</v>
      </c>
      <c r="BC838" s="94">
        <v>45624.680555555555</v>
      </c>
      <c r="BD838" s="94">
        <v>45624.802083333336</v>
      </c>
      <c r="BE838" s="95">
        <f t="shared" ref="BE838:BE857" si="506">+BD838-BA838</f>
        <v>0.125</v>
      </c>
      <c r="BF838" s="95">
        <v>0</v>
      </c>
      <c r="BG838" s="95">
        <v>0</v>
      </c>
      <c r="BH838" s="95">
        <f t="shared" ref="BH838:BJ857" si="507">+BB838-BA838</f>
        <v>3.4722222189884633E-3</v>
      </c>
      <c r="BI838" s="95">
        <f t="shared" si="507"/>
        <v>0</v>
      </c>
      <c r="BJ838" s="95">
        <f t="shared" si="507"/>
        <v>0.12152777778101154</v>
      </c>
      <c r="BK838" s="95">
        <f t="shared" ref="BK838:BK857" si="508">+BI838+BJ838</f>
        <v>0.12152777778101154</v>
      </c>
      <c r="BL838" s="95">
        <f t="shared" ref="BL838:BL857" si="509">+BE838-BH838-BF838-BG838</f>
        <v>0.12152777778101154</v>
      </c>
      <c r="BM838" s="95" t="str">
        <f t="shared" ref="BM838:BM857" si="510">IF(VALUE(BE838)&lt;=VALUE("05:00"),"00:00",VALUE(BE838)-VALUE("05:00"))</f>
        <v>00:00</v>
      </c>
      <c r="BN838" s="110"/>
    </row>
    <row r="839" spans="1:66" s="8" customFormat="1" ht="12.75" customHeight="1" x14ac:dyDescent="0.25">
      <c r="A839" s="150">
        <v>767</v>
      </c>
      <c r="B839" s="150">
        <v>76</v>
      </c>
      <c r="C839" s="90">
        <v>3</v>
      </c>
      <c r="D839" s="111" t="s">
        <v>148</v>
      </c>
      <c r="E839" s="210" t="s">
        <v>975</v>
      </c>
      <c r="F839" s="150" t="s">
        <v>16</v>
      </c>
      <c r="G839" s="150" t="s">
        <v>17</v>
      </c>
      <c r="H839" s="150" t="s">
        <v>150</v>
      </c>
      <c r="I839" s="150" t="s">
        <v>327</v>
      </c>
      <c r="J839" s="151">
        <v>45624</v>
      </c>
      <c r="K839" s="135" t="s">
        <v>122</v>
      </c>
      <c r="L839" s="135">
        <v>461000569</v>
      </c>
      <c r="M839" s="151">
        <v>45625</v>
      </c>
      <c r="N839" s="152">
        <v>45625.083333333336</v>
      </c>
      <c r="O839" s="152">
        <v>45625.083333333336</v>
      </c>
      <c r="P839" s="152">
        <v>45625.086805555555</v>
      </c>
      <c r="Q839" s="152">
        <v>45625.270833333336</v>
      </c>
      <c r="R839" s="152" t="s">
        <v>118</v>
      </c>
      <c r="S839" s="152" t="s">
        <v>118</v>
      </c>
      <c r="T839" s="152">
        <v>45625.291666666664</v>
      </c>
      <c r="U839" s="152">
        <v>45625.423611111109</v>
      </c>
      <c r="V839" s="219">
        <f t="shared" si="502"/>
        <v>0.1875</v>
      </c>
      <c r="W839" s="203">
        <v>0.20833333333333334</v>
      </c>
      <c r="X839" s="219" t="str">
        <f t="shared" si="503"/>
        <v>00:00</v>
      </c>
      <c r="Y839" s="96">
        <v>0</v>
      </c>
      <c r="Z839" s="96">
        <v>58</v>
      </c>
      <c r="AA839" s="96">
        <f t="shared" si="475"/>
        <v>58</v>
      </c>
      <c r="AB839" s="97">
        <f t="shared" si="476"/>
        <v>0</v>
      </c>
      <c r="AC839" s="97">
        <f t="shared" si="477"/>
        <v>4006.13</v>
      </c>
      <c r="AD839" s="98">
        <v>4006.13</v>
      </c>
      <c r="AE839" s="98">
        <v>4028.5</v>
      </c>
      <c r="AF839" s="98">
        <v>4044.4</v>
      </c>
      <c r="AG839" s="98">
        <f t="shared" si="478"/>
        <v>38.269999999999982</v>
      </c>
      <c r="AH839" s="99">
        <v>672.5</v>
      </c>
      <c r="AI839" s="100">
        <f t="shared" si="479"/>
        <v>2719859</v>
      </c>
      <c r="AJ839" s="100">
        <f t="shared" si="498"/>
        <v>0</v>
      </c>
      <c r="AK839" s="100">
        <v>0</v>
      </c>
      <c r="AL839" s="100">
        <v>24140</v>
      </c>
      <c r="AM839" s="100">
        <v>0</v>
      </c>
      <c r="AN839" s="100">
        <v>0</v>
      </c>
      <c r="AO839" s="100">
        <v>0</v>
      </c>
      <c r="AP839" s="100">
        <f t="shared" si="500"/>
        <v>137200</v>
      </c>
      <c r="AQ839" s="101">
        <f t="shared" si="501"/>
        <v>2881199</v>
      </c>
      <c r="AR839" s="101">
        <v>0</v>
      </c>
      <c r="AS839" s="101">
        <v>0</v>
      </c>
      <c r="AT839" s="102" t="s">
        <v>33</v>
      </c>
      <c r="AU839" s="109">
        <v>11</v>
      </c>
      <c r="AV839" s="100">
        <f>20.3-13.3</f>
        <v>7</v>
      </c>
      <c r="AW839" s="262">
        <v>0</v>
      </c>
      <c r="AX839" s="216">
        <f t="shared" si="504"/>
        <v>0.94624666205123087</v>
      </c>
      <c r="AY839" s="217">
        <f t="shared" si="505"/>
        <v>25737</v>
      </c>
      <c r="AZ839" s="107"/>
      <c r="BA839" s="94">
        <v>45625.083333333336</v>
      </c>
      <c r="BB839" s="94">
        <v>45625.086805555555</v>
      </c>
      <c r="BC839" s="94">
        <v>45625.086805555555</v>
      </c>
      <c r="BD839" s="94">
        <v>45625.203472222223</v>
      </c>
      <c r="BE839" s="95">
        <f t="shared" si="506"/>
        <v>0.12013888888759539</v>
      </c>
      <c r="BF839" s="95">
        <v>4.1666666666666666E-3</v>
      </c>
      <c r="BG839" s="95">
        <v>2.7777777777777779E-3</v>
      </c>
      <c r="BH839" s="95">
        <f t="shared" si="507"/>
        <v>3.4722222189884633E-3</v>
      </c>
      <c r="BI839" s="95">
        <f t="shared" si="507"/>
        <v>0</v>
      </c>
      <c r="BJ839" s="95">
        <f t="shared" si="507"/>
        <v>0.11666666666860692</v>
      </c>
      <c r="BK839" s="95">
        <f t="shared" si="508"/>
        <v>0.11666666666860692</v>
      </c>
      <c r="BL839" s="95">
        <f t="shared" si="509"/>
        <v>0.10972222222416247</v>
      </c>
      <c r="BM839" s="95" t="str">
        <f t="shared" si="510"/>
        <v>00:00</v>
      </c>
      <c r="BN839" s="110"/>
    </row>
    <row r="840" spans="1:66" s="8" customFormat="1" ht="12.75" customHeight="1" x14ac:dyDescent="0.25">
      <c r="A840" s="150">
        <v>768</v>
      </c>
      <c r="B840" s="150">
        <v>77</v>
      </c>
      <c r="C840" s="90">
        <v>4</v>
      </c>
      <c r="D840" s="111" t="s">
        <v>113</v>
      </c>
      <c r="E840" s="210" t="s">
        <v>948</v>
      </c>
      <c r="F840" s="150" t="s">
        <v>14</v>
      </c>
      <c r="G840" s="150" t="s">
        <v>15</v>
      </c>
      <c r="H840" s="150" t="s">
        <v>779</v>
      </c>
      <c r="I840" s="150" t="s">
        <v>977</v>
      </c>
      <c r="J840" s="151">
        <v>45625</v>
      </c>
      <c r="K840" s="135" t="s">
        <v>117</v>
      </c>
      <c r="L840" s="135">
        <v>281000266</v>
      </c>
      <c r="M840" s="151">
        <v>45625</v>
      </c>
      <c r="N840" s="152">
        <v>45625.361111111109</v>
      </c>
      <c r="O840" s="152">
        <v>45625.361111111109</v>
      </c>
      <c r="P840" s="152">
        <v>45625.368055555555</v>
      </c>
      <c r="Q840" s="152">
        <v>45625.569444444445</v>
      </c>
      <c r="R840" s="152" t="s">
        <v>118</v>
      </c>
      <c r="S840" s="152" t="s">
        <v>118</v>
      </c>
      <c r="T840" s="152">
        <v>45625.604166666664</v>
      </c>
      <c r="U840" s="152">
        <v>45625.696527777778</v>
      </c>
      <c r="V840" s="219">
        <f t="shared" si="502"/>
        <v>0.20833333333575865</v>
      </c>
      <c r="W840" s="203">
        <v>0.20833333333333334</v>
      </c>
      <c r="X840" s="219">
        <f t="shared" si="503"/>
        <v>2.4253099528692701E-12</v>
      </c>
      <c r="Y840" s="96">
        <v>0</v>
      </c>
      <c r="Z840" s="96">
        <v>58</v>
      </c>
      <c r="AA840" s="96">
        <f t="shared" si="475"/>
        <v>58</v>
      </c>
      <c r="AB840" s="97">
        <f t="shared" si="476"/>
        <v>0</v>
      </c>
      <c r="AC840" s="97">
        <f t="shared" si="477"/>
        <v>3910.87</v>
      </c>
      <c r="AD840" s="98">
        <v>3910.87</v>
      </c>
      <c r="AE840" s="98">
        <v>4046.9</v>
      </c>
      <c r="AF840" s="98">
        <v>4047</v>
      </c>
      <c r="AG840" s="98">
        <f t="shared" si="478"/>
        <v>136.13000000000011</v>
      </c>
      <c r="AH840" s="99">
        <v>1435.6</v>
      </c>
      <c r="AI840" s="100">
        <f t="shared" si="479"/>
        <v>5809873.1999999993</v>
      </c>
      <c r="AJ840" s="100">
        <f t="shared" si="498"/>
        <v>0</v>
      </c>
      <c r="AK840" s="100">
        <v>0</v>
      </c>
      <c r="AL840" s="100">
        <v>0</v>
      </c>
      <c r="AM840" s="100">
        <v>0</v>
      </c>
      <c r="AN840" s="100">
        <v>0</v>
      </c>
      <c r="AO840" s="100">
        <v>0</v>
      </c>
      <c r="AP840" s="100">
        <f t="shared" si="500"/>
        <v>290494</v>
      </c>
      <c r="AQ840" s="101">
        <f t="shared" si="501"/>
        <v>6100368</v>
      </c>
      <c r="AR840" s="101">
        <v>0</v>
      </c>
      <c r="AS840" s="101">
        <v>0</v>
      </c>
      <c r="AT840" s="102" t="s">
        <v>33</v>
      </c>
      <c r="AU840" s="109" t="s">
        <v>118</v>
      </c>
      <c r="AV840" s="100">
        <v>0</v>
      </c>
      <c r="AW840" s="262">
        <v>0</v>
      </c>
      <c r="AX840" s="216">
        <f t="shared" si="504"/>
        <v>3.3637262169508304</v>
      </c>
      <c r="AY840" s="217">
        <f t="shared" si="505"/>
        <v>195429</v>
      </c>
      <c r="AZ840" s="107"/>
      <c r="BA840" s="94">
        <v>45625.361111111109</v>
      </c>
      <c r="BB840" s="94">
        <v>45625.368055555555</v>
      </c>
      <c r="BC840" s="94">
        <v>45625.368055555555</v>
      </c>
      <c r="BD840" s="94">
        <v>45625.569444444445</v>
      </c>
      <c r="BE840" s="95">
        <f t="shared" si="506"/>
        <v>0.20833333333575865</v>
      </c>
      <c r="BF840" s="95">
        <v>3.472222222222222E-3</v>
      </c>
      <c r="BG840" s="95">
        <v>7.1527777777777773E-2</v>
      </c>
      <c r="BH840" s="95">
        <f t="shared" si="507"/>
        <v>6.9444444452528842E-3</v>
      </c>
      <c r="BI840" s="95">
        <f t="shared" si="507"/>
        <v>0</v>
      </c>
      <c r="BJ840" s="95">
        <f t="shared" si="507"/>
        <v>0.20138888889050577</v>
      </c>
      <c r="BK840" s="95">
        <f t="shared" si="508"/>
        <v>0.20138888889050577</v>
      </c>
      <c r="BL840" s="95">
        <f t="shared" si="509"/>
        <v>0.12638888889050579</v>
      </c>
      <c r="BM840" s="95">
        <f t="shared" si="510"/>
        <v>2.4253099528692701E-12</v>
      </c>
      <c r="BN840" s="110"/>
    </row>
    <row r="841" spans="1:66" s="8" customFormat="1" ht="12.75" customHeight="1" x14ac:dyDescent="0.25">
      <c r="A841" s="150">
        <v>769</v>
      </c>
      <c r="B841" s="150">
        <v>78</v>
      </c>
      <c r="C841" s="90">
        <v>4</v>
      </c>
      <c r="D841" s="111" t="s">
        <v>148</v>
      </c>
      <c r="E841" s="210" t="s">
        <v>975</v>
      </c>
      <c r="F841" s="150" t="s">
        <v>16</v>
      </c>
      <c r="G841" s="150" t="s">
        <v>17</v>
      </c>
      <c r="H841" s="150" t="s">
        <v>150</v>
      </c>
      <c r="I841" s="150" t="s">
        <v>328</v>
      </c>
      <c r="J841" s="151">
        <v>45625</v>
      </c>
      <c r="K841" s="135" t="s">
        <v>122</v>
      </c>
      <c r="L841" s="135">
        <v>461000570</v>
      </c>
      <c r="M841" s="151">
        <v>45625</v>
      </c>
      <c r="N841" s="152">
        <v>45625.614583333336</v>
      </c>
      <c r="O841" s="152">
        <v>45625.614583333336</v>
      </c>
      <c r="P841" s="152">
        <v>45625.621527777781</v>
      </c>
      <c r="Q841" s="152">
        <v>45625.760416666664</v>
      </c>
      <c r="R841" s="152" t="s">
        <v>118</v>
      </c>
      <c r="S841" s="152" t="s">
        <v>118</v>
      </c>
      <c r="T841" s="152">
        <v>45625.833333333336</v>
      </c>
      <c r="U841" s="152">
        <v>45625.928472222222</v>
      </c>
      <c r="V841" s="219">
        <f t="shared" si="502"/>
        <v>0.14583333332848269</v>
      </c>
      <c r="W841" s="203">
        <v>0.20833333333333334</v>
      </c>
      <c r="X841" s="219" t="str">
        <f t="shared" si="503"/>
        <v>00:00</v>
      </c>
      <c r="Y841" s="96">
        <v>0</v>
      </c>
      <c r="Z841" s="96">
        <v>58</v>
      </c>
      <c r="AA841" s="96">
        <f t="shared" si="475"/>
        <v>58</v>
      </c>
      <c r="AB841" s="97">
        <f t="shared" si="476"/>
        <v>0</v>
      </c>
      <c r="AC841" s="97">
        <f t="shared" si="477"/>
        <v>3985.7800000000007</v>
      </c>
      <c r="AD841" s="98">
        <v>3985.78</v>
      </c>
      <c r="AE841" s="98">
        <v>4029.6</v>
      </c>
      <c r="AF841" s="98">
        <v>4038.4</v>
      </c>
      <c r="AG841" s="98">
        <f t="shared" si="478"/>
        <v>52.619999999999891</v>
      </c>
      <c r="AH841" s="99">
        <v>672.5</v>
      </c>
      <c r="AI841" s="100">
        <f t="shared" si="479"/>
        <v>2715824</v>
      </c>
      <c r="AJ841" s="100">
        <f>(1.4*AH841)*2</f>
        <v>1882.9999999999998</v>
      </c>
      <c r="AK841" s="100">
        <v>0</v>
      </c>
      <c r="AL841" s="100">
        <v>0</v>
      </c>
      <c r="AM841" s="100">
        <v>0</v>
      </c>
      <c r="AN841" s="100">
        <v>0</v>
      </c>
      <c r="AO841" s="100">
        <v>0</v>
      </c>
      <c r="AP841" s="100">
        <f t="shared" si="500"/>
        <v>135886</v>
      </c>
      <c r="AQ841" s="101">
        <f t="shared" si="501"/>
        <v>2853593</v>
      </c>
      <c r="AR841" s="101">
        <v>0</v>
      </c>
      <c r="AS841" s="101">
        <v>0</v>
      </c>
      <c r="AT841" s="102" t="s">
        <v>33</v>
      </c>
      <c r="AU841" s="109" t="s">
        <v>118</v>
      </c>
      <c r="AV841" s="100">
        <v>0</v>
      </c>
      <c r="AW841" s="262">
        <v>0</v>
      </c>
      <c r="AX841" s="216">
        <f t="shared" si="504"/>
        <v>1.302991283676701</v>
      </c>
      <c r="AY841" s="217">
        <f t="shared" si="505"/>
        <v>35387</v>
      </c>
      <c r="AZ841" s="107"/>
      <c r="BA841" s="94">
        <v>45625.614583333336</v>
      </c>
      <c r="BB841" s="94">
        <v>45625.621527777781</v>
      </c>
      <c r="BC841" s="94">
        <v>45625.621527777781</v>
      </c>
      <c r="BD841" s="94">
        <v>45625.74722222222</v>
      </c>
      <c r="BE841" s="95">
        <f t="shared" si="506"/>
        <v>0.132638888884685</v>
      </c>
      <c r="BF841" s="95">
        <v>4.1666666666666666E-3</v>
      </c>
      <c r="BG841" s="95">
        <v>0</v>
      </c>
      <c r="BH841" s="95">
        <f t="shared" si="507"/>
        <v>6.9444444452528842E-3</v>
      </c>
      <c r="BI841" s="95">
        <f t="shared" si="507"/>
        <v>0</v>
      </c>
      <c r="BJ841" s="95">
        <f t="shared" si="507"/>
        <v>0.12569444443943212</v>
      </c>
      <c r="BK841" s="95">
        <f t="shared" si="508"/>
        <v>0.12569444443943212</v>
      </c>
      <c r="BL841" s="95">
        <f t="shared" si="509"/>
        <v>0.12152777777276545</v>
      </c>
      <c r="BM841" s="95" t="str">
        <f t="shared" si="510"/>
        <v>00:00</v>
      </c>
      <c r="BN841" s="110"/>
    </row>
    <row r="842" spans="1:66" s="8" customFormat="1" ht="12.75" customHeight="1" x14ac:dyDescent="0.25">
      <c r="A842" s="150">
        <v>770</v>
      </c>
      <c r="B842" s="150">
        <v>79</v>
      </c>
      <c r="C842" s="90">
        <v>5</v>
      </c>
      <c r="D842" s="111" t="s">
        <v>148</v>
      </c>
      <c r="E842" s="210" t="s">
        <v>975</v>
      </c>
      <c r="F842" s="150" t="s">
        <v>16</v>
      </c>
      <c r="G842" s="150" t="s">
        <v>17</v>
      </c>
      <c r="H842" s="150" t="s">
        <v>150</v>
      </c>
      <c r="I842" s="150" t="s">
        <v>330</v>
      </c>
      <c r="J842" s="151">
        <v>45625</v>
      </c>
      <c r="K842" s="135" t="s">
        <v>117</v>
      </c>
      <c r="L842" s="135">
        <v>461000571</v>
      </c>
      <c r="M842" s="151">
        <v>45626</v>
      </c>
      <c r="N842" s="152">
        <v>45625.770833333336</v>
      </c>
      <c r="O842" s="152">
        <v>45625.770833333336</v>
      </c>
      <c r="P842" s="152">
        <v>45625.774305555555</v>
      </c>
      <c r="Q842" s="152">
        <v>45625.916666666664</v>
      </c>
      <c r="R842" s="152" t="s">
        <v>118</v>
      </c>
      <c r="S842" s="152" t="s">
        <v>118</v>
      </c>
      <c r="T842" s="152">
        <v>45625.958333333336</v>
      </c>
      <c r="U842" s="152">
        <v>45626.104166666664</v>
      </c>
      <c r="V842" s="219">
        <f t="shared" si="502"/>
        <v>0.14583333332848269</v>
      </c>
      <c r="W842" s="203">
        <v>0.20833333333333334</v>
      </c>
      <c r="X842" s="219" t="str">
        <f t="shared" si="503"/>
        <v>00:00</v>
      </c>
      <c r="Y842" s="96">
        <v>0</v>
      </c>
      <c r="Z842" s="96">
        <v>59</v>
      </c>
      <c r="AA842" s="96">
        <f t="shared" si="475"/>
        <v>59</v>
      </c>
      <c r="AB842" s="97">
        <f t="shared" si="476"/>
        <v>0</v>
      </c>
      <c r="AC842" s="97">
        <f t="shared" si="477"/>
        <v>4052.04</v>
      </c>
      <c r="AD842" s="98">
        <v>4052.04</v>
      </c>
      <c r="AE842" s="98">
        <v>4097.1000000000004</v>
      </c>
      <c r="AF842" s="98">
        <v>4109.3999999999996</v>
      </c>
      <c r="AG842" s="98">
        <f t="shared" si="478"/>
        <v>57.359999999999673</v>
      </c>
      <c r="AH842" s="99">
        <v>672.5</v>
      </c>
      <c r="AI842" s="100">
        <f t="shared" si="479"/>
        <v>2763571.4999999995</v>
      </c>
      <c r="AJ842" s="100">
        <f>(0*AH842)*2</f>
        <v>0</v>
      </c>
      <c r="AK842" s="100">
        <v>0</v>
      </c>
      <c r="AL842" s="100">
        <v>24290</v>
      </c>
      <c r="AM842" s="100">
        <v>0</v>
      </c>
      <c r="AN842" s="100">
        <v>0</v>
      </c>
      <c r="AO842" s="100">
        <v>0</v>
      </c>
      <c r="AP842" s="100">
        <f t="shared" si="500"/>
        <v>139394</v>
      </c>
      <c r="AQ842" s="101">
        <f t="shared" si="501"/>
        <v>2927256</v>
      </c>
      <c r="AR842" s="101">
        <v>0</v>
      </c>
      <c r="AS842" s="101">
        <v>0</v>
      </c>
      <c r="AT842" s="102" t="s">
        <v>33</v>
      </c>
      <c r="AU842" s="109">
        <v>8</v>
      </c>
      <c r="AV842" s="100">
        <f>16.54-10.54</f>
        <v>6</v>
      </c>
      <c r="AW842" s="262">
        <v>0</v>
      </c>
      <c r="AX842" s="216">
        <f t="shared" si="504"/>
        <v>1.3958242079135561</v>
      </c>
      <c r="AY842" s="217">
        <f t="shared" si="505"/>
        <v>38575</v>
      </c>
      <c r="AZ842" s="107"/>
      <c r="BA842" s="94">
        <v>45625.763888888891</v>
      </c>
      <c r="BB842" s="94">
        <v>45625.767361111109</v>
      </c>
      <c r="BC842" s="94">
        <v>45625.767361111109</v>
      </c>
      <c r="BD842" s="94">
        <v>45625.887499999997</v>
      </c>
      <c r="BE842" s="95">
        <f t="shared" si="506"/>
        <v>0.12361111110658385</v>
      </c>
      <c r="BF842" s="95">
        <v>0</v>
      </c>
      <c r="BG842" s="95">
        <v>0</v>
      </c>
      <c r="BH842" s="95">
        <f t="shared" si="507"/>
        <v>3.4722222189884633E-3</v>
      </c>
      <c r="BI842" s="95">
        <f t="shared" si="507"/>
        <v>0</v>
      </c>
      <c r="BJ842" s="95">
        <f t="shared" si="507"/>
        <v>0.12013888888759539</v>
      </c>
      <c r="BK842" s="95">
        <f t="shared" si="508"/>
        <v>0.12013888888759539</v>
      </c>
      <c r="BL842" s="95">
        <f t="shared" si="509"/>
        <v>0.12013888888759539</v>
      </c>
      <c r="BM842" s="95" t="str">
        <f t="shared" si="510"/>
        <v>00:00</v>
      </c>
      <c r="BN842" s="110"/>
    </row>
    <row r="843" spans="1:66" s="8" customFormat="1" ht="12.75" customHeight="1" x14ac:dyDescent="0.25">
      <c r="A843" s="150">
        <v>771</v>
      </c>
      <c r="B843" s="150">
        <v>80</v>
      </c>
      <c r="C843" s="90">
        <v>6</v>
      </c>
      <c r="D843" s="111" t="s">
        <v>148</v>
      </c>
      <c r="E843" s="210" t="s">
        <v>975</v>
      </c>
      <c r="F843" s="150" t="s">
        <v>16</v>
      </c>
      <c r="G843" s="150" t="s">
        <v>17</v>
      </c>
      <c r="H843" s="150" t="s">
        <v>150</v>
      </c>
      <c r="I843" s="150" t="s">
        <v>189</v>
      </c>
      <c r="J843" s="151">
        <v>45625</v>
      </c>
      <c r="K843" s="135" t="s">
        <v>122</v>
      </c>
      <c r="L843" s="135">
        <v>461000572</v>
      </c>
      <c r="M843" s="151">
        <v>45626</v>
      </c>
      <c r="N843" s="152">
        <v>45626.239583333336</v>
      </c>
      <c r="O843" s="152">
        <v>45626.239583333336</v>
      </c>
      <c r="P843" s="152">
        <v>45626.243055555555</v>
      </c>
      <c r="Q843" s="152">
        <v>45626.427083333336</v>
      </c>
      <c r="R843" s="152" t="s">
        <v>118</v>
      </c>
      <c r="S843" s="152" t="s">
        <v>118</v>
      </c>
      <c r="T843" s="152">
        <v>45626.479166666664</v>
      </c>
      <c r="U843" s="152">
        <v>45626.590277777781</v>
      </c>
      <c r="V843" s="219">
        <f t="shared" si="502"/>
        <v>0.1875</v>
      </c>
      <c r="W843" s="203">
        <v>0.20833333333333334</v>
      </c>
      <c r="X843" s="219" t="str">
        <f t="shared" si="503"/>
        <v>00:00</v>
      </c>
      <c r="Y843" s="96">
        <v>0</v>
      </c>
      <c r="Z843" s="96">
        <v>58</v>
      </c>
      <c r="AA843" s="96">
        <f t="shared" si="475"/>
        <v>58</v>
      </c>
      <c r="AB843" s="97">
        <f t="shared" si="476"/>
        <v>0</v>
      </c>
      <c r="AC843" s="97">
        <f t="shared" si="477"/>
        <v>4047.4000000000005</v>
      </c>
      <c r="AD843" s="98">
        <v>4047.4</v>
      </c>
      <c r="AE843" s="98">
        <v>4060</v>
      </c>
      <c r="AF843" s="98">
        <v>4075.4</v>
      </c>
      <c r="AG843" s="98">
        <f t="shared" si="478"/>
        <v>28</v>
      </c>
      <c r="AH843" s="99">
        <v>672.5</v>
      </c>
      <c r="AI843" s="100">
        <f t="shared" si="479"/>
        <v>2740706.5</v>
      </c>
      <c r="AJ843" s="100">
        <f>(2.2*AH843)*2</f>
        <v>2959.0000000000005</v>
      </c>
      <c r="AK843" s="100">
        <v>0</v>
      </c>
      <c r="AL843" s="100">
        <v>0</v>
      </c>
      <c r="AM843" s="100">
        <v>0</v>
      </c>
      <c r="AN843" s="100">
        <v>0</v>
      </c>
      <c r="AO843" s="100">
        <v>0</v>
      </c>
      <c r="AP843" s="100">
        <f t="shared" si="500"/>
        <v>137184</v>
      </c>
      <c r="AQ843" s="101">
        <f t="shared" si="501"/>
        <v>2880850</v>
      </c>
      <c r="AR843" s="101">
        <v>0</v>
      </c>
      <c r="AS843" s="101">
        <v>0</v>
      </c>
      <c r="AT843" s="102" t="s">
        <v>33</v>
      </c>
      <c r="AU843" s="109" t="s">
        <v>118</v>
      </c>
      <c r="AV843" s="100">
        <v>0</v>
      </c>
      <c r="AW843" s="262">
        <v>0</v>
      </c>
      <c r="AX843" s="216">
        <f t="shared" si="504"/>
        <v>0.68704912401236684</v>
      </c>
      <c r="AY843" s="217">
        <f t="shared" si="505"/>
        <v>18830</v>
      </c>
      <c r="AZ843" s="107"/>
      <c r="BA843" s="94">
        <v>45626.239583333336</v>
      </c>
      <c r="BB843" s="94">
        <v>45626.243055555555</v>
      </c>
      <c r="BC843" s="94">
        <v>45626.243055555555</v>
      </c>
      <c r="BD843" s="94">
        <v>45626.381249999999</v>
      </c>
      <c r="BE843" s="95">
        <f t="shared" si="506"/>
        <v>0.14166666666278616</v>
      </c>
      <c r="BF843" s="95">
        <v>4.8611111111111112E-3</v>
      </c>
      <c r="BG843" s="95">
        <v>3.472222222222222E-3</v>
      </c>
      <c r="BH843" s="95">
        <f t="shared" si="507"/>
        <v>3.4722222189884633E-3</v>
      </c>
      <c r="BI843" s="95">
        <f t="shared" si="507"/>
        <v>0</v>
      </c>
      <c r="BJ843" s="95">
        <f t="shared" si="507"/>
        <v>0.13819444444379769</v>
      </c>
      <c r="BK843" s="95">
        <f t="shared" si="508"/>
        <v>0.13819444444379769</v>
      </c>
      <c r="BL843" s="95">
        <f t="shared" si="509"/>
        <v>0.12986111111046436</v>
      </c>
      <c r="BM843" s="95" t="str">
        <f t="shared" si="510"/>
        <v>00:00</v>
      </c>
      <c r="BN843" s="110"/>
    </row>
    <row r="844" spans="1:66" s="8" customFormat="1" ht="12.75" customHeight="1" x14ac:dyDescent="0.25">
      <c r="A844" s="150">
        <v>772</v>
      </c>
      <c r="B844" s="150">
        <v>81</v>
      </c>
      <c r="C844" s="90">
        <v>6</v>
      </c>
      <c r="D844" s="111" t="s">
        <v>113</v>
      </c>
      <c r="E844" s="210" t="s">
        <v>956</v>
      </c>
      <c r="F844" s="150" t="s">
        <v>41</v>
      </c>
      <c r="G844" s="150" t="s">
        <v>12</v>
      </c>
      <c r="H844" s="150" t="s">
        <v>115</v>
      </c>
      <c r="I844" s="150" t="s">
        <v>978</v>
      </c>
      <c r="J844" s="151">
        <v>45626</v>
      </c>
      <c r="K844" s="135" t="s">
        <v>117</v>
      </c>
      <c r="L844" s="135">
        <v>282001065</v>
      </c>
      <c r="M844" s="151">
        <v>45626</v>
      </c>
      <c r="N844" s="152">
        <v>45626.482638888891</v>
      </c>
      <c r="O844" s="152">
        <v>45626.482638888891</v>
      </c>
      <c r="P844" s="152">
        <v>45626.486111111109</v>
      </c>
      <c r="Q844" s="152">
        <v>45626.625</v>
      </c>
      <c r="R844" s="152" t="s">
        <v>118</v>
      </c>
      <c r="S844" s="152" t="s">
        <v>118</v>
      </c>
      <c r="T844" s="152">
        <v>45626.666666666664</v>
      </c>
      <c r="U844" s="152">
        <v>45626.744444444441</v>
      </c>
      <c r="V844" s="219">
        <f t="shared" si="502"/>
        <v>0.14236111110949423</v>
      </c>
      <c r="W844" s="203">
        <v>0.20833333333333334</v>
      </c>
      <c r="X844" s="219" t="str">
        <f t="shared" si="503"/>
        <v>00:00</v>
      </c>
      <c r="Y844" s="96">
        <v>0</v>
      </c>
      <c r="Z844" s="96">
        <v>59</v>
      </c>
      <c r="AA844" s="96">
        <f t="shared" si="475"/>
        <v>59</v>
      </c>
      <c r="AB844" s="97">
        <f t="shared" si="476"/>
        <v>0</v>
      </c>
      <c r="AC844" s="97">
        <f t="shared" si="477"/>
        <v>4007.37</v>
      </c>
      <c r="AD844" s="98">
        <v>4007.37</v>
      </c>
      <c r="AE844" s="98">
        <v>4103.8</v>
      </c>
      <c r="AF844" s="98">
        <v>4109.6000000000004</v>
      </c>
      <c r="AG844" s="98">
        <f t="shared" si="478"/>
        <v>102.23000000000047</v>
      </c>
      <c r="AH844" s="99">
        <v>1586.7</v>
      </c>
      <c r="AI844" s="100">
        <f t="shared" si="479"/>
        <v>6520702.3200000012</v>
      </c>
      <c r="AJ844" s="100">
        <f>(0.6*AH844)*2</f>
        <v>1904.04</v>
      </c>
      <c r="AK844" s="100">
        <v>0</v>
      </c>
      <c r="AL844" s="100">
        <v>0</v>
      </c>
      <c r="AM844" s="100">
        <v>0</v>
      </c>
      <c r="AN844" s="100">
        <v>0</v>
      </c>
      <c r="AO844" s="100">
        <f>IFERROR(AF844*20+(((AJ844/AH844)/2)*20),0)</f>
        <v>82204</v>
      </c>
      <c r="AP844" s="100">
        <f t="shared" si="500"/>
        <v>330241</v>
      </c>
      <c r="AQ844" s="101">
        <f t="shared" si="501"/>
        <v>6935052</v>
      </c>
      <c r="AR844" s="101">
        <v>0</v>
      </c>
      <c r="AS844" s="101">
        <v>0</v>
      </c>
      <c r="AT844" s="102" t="s">
        <v>33</v>
      </c>
      <c r="AU844" s="109" t="s">
        <v>118</v>
      </c>
      <c r="AV844" s="100">
        <v>0</v>
      </c>
      <c r="AW844" s="262">
        <v>0</v>
      </c>
      <c r="AX844" s="216">
        <f t="shared" si="504"/>
        <v>2.4875900330932561</v>
      </c>
      <c r="AY844" s="217">
        <f t="shared" si="505"/>
        <v>162209</v>
      </c>
      <c r="AZ844" s="107"/>
      <c r="BA844" s="94">
        <v>45626.482638888891</v>
      </c>
      <c r="BB844" s="94">
        <v>45626.486111111109</v>
      </c>
      <c r="BC844" s="94">
        <v>45626.486111111109</v>
      </c>
      <c r="BD844" s="94">
        <v>45626.618055555555</v>
      </c>
      <c r="BE844" s="95">
        <f t="shared" si="506"/>
        <v>0.13541666666424135</v>
      </c>
      <c r="BF844" s="95">
        <v>1.1805555555555555E-2</v>
      </c>
      <c r="BG844" s="95">
        <v>0</v>
      </c>
      <c r="BH844" s="95">
        <f t="shared" si="507"/>
        <v>3.4722222189884633E-3</v>
      </c>
      <c r="BI844" s="95">
        <f t="shared" si="507"/>
        <v>0</v>
      </c>
      <c r="BJ844" s="95">
        <f t="shared" si="507"/>
        <v>0.13194444444525288</v>
      </c>
      <c r="BK844" s="95">
        <f t="shared" si="508"/>
        <v>0.13194444444525288</v>
      </c>
      <c r="BL844" s="95">
        <f t="shared" si="509"/>
        <v>0.12013888888969733</v>
      </c>
      <c r="BM844" s="95" t="str">
        <f t="shared" si="510"/>
        <v>00:00</v>
      </c>
      <c r="BN844" s="110"/>
    </row>
    <row r="845" spans="1:66" s="8" customFormat="1" ht="12.75" customHeight="1" x14ac:dyDescent="0.25">
      <c r="A845" s="150">
        <v>773</v>
      </c>
      <c r="B845" s="150">
        <v>82</v>
      </c>
      <c r="C845" s="90">
        <v>7</v>
      </c>
      <c r="D845" s="111" t="s">
        <v>148</v>
      </c>
      <c r="E845" s="210" t="s">
        <v>975</v>
      </c>
      <c r="F845" s="150" t="s">
        <v>16</v>
      </c>
      <c r="G845" s="150" t="s">
        <v>17</v>
      </c>
      <c r="H845" s="150" t="s">
        <v>150</v>
      </c>
      <c r="I845" s="150" t="s">
        <v>334</v>
      </c>
      <c r="J845" s="151">
        <v>45626</v>
      </c>
      <c r="K845" s="135" t="s">
        <v>122</v>
      </c>
      <c r="L845" s="135">
        <v>461000573</v>
      </c>
      <c r="M845" s="151">
        <v>45626</v>
      </c>
      <c r="N845" s="152">
        <v>45626.666666666664</v>
      </c>
      <c r="O845" s="152">
        <v>45626.666666666664</v>
      </c>
      <c r="P845" s="152">
        <v>45626.697916666664</v>
      </c>
      <c r="Q845" s="152">
        <v>45626.875</v>
      </c>
      <c r="R845" s="152" t="s">
        <v>118</v>
      </c>
      <c r="S845" s="152" t="s">
        <v>118</v>
      </c>
      <c r="T845" s="152">
        <v>45626.979166666664</v>
      </c>
      <c r="U845" s="152">
        <v>45627.089583333334</v>
      </c>
      <c r="V845" s="219">
        <f t="shared" si="502"/>
        <v>0.20833333333575865</v>
      </c>
      <c r="W845" s="203">
        <v>0.20833333333333334</v>
      </c>
      <c r="X845" s="219">
        <f t="shared" si="503"/>
        <v>2.4253099528692701E-12</v>
      </c>
      <c r="Y845" s="96">
        <v>0</v>
      </c>
      <c r="Z845" s="96">
        <v>56</v>
      </c>
      <c r="AA845" s="96">
        <f t="shared" si="475"/>
        <v>56</v>
      </c>
      <c r="AB845" s="97">
        <f t="shared" si="476"/>
        <v>0</v>
      </c>
      <c r="AC845" s="97">
        <f t="shared" si="477"/>
        <v>3842.25</v>
      </c>
      <c r="AD845" s="98">
        <v>3842.25</v>
      </c>
      <c r="AE845" s="98">
        <v>3900.6</v>
      </c>
      <c r="AF845" s="98">
        <v>3900.6</v>
      </c>
      <c r="AG845" s="98">
        <f t="shared" si="478"/>
        <v>58.349999999999909</v>
      </c>
      <c r="AH845" s="99">
        <v>672.5</v>
      </c>
      <c r="AI845" s="100">
        <f t="shared" si="479"/>
        <v>2623153.5</v>
      </c>
      <c r="AJ845" s="100">
        <f>(0*AH845)*2</f>
        <v>0</v>
      </c>
      <c r="AK845" s="100">
        <v>0</v>
      </c>
      <c r="AL845" s="100">
        <v>0</v>
      </c>
      <c r="AM845" s="100">
        <v>0</v>
      </c>
      <c r="AN845" s="100">
        <v>0</v>
      </c>
      <c r="AO845" s="100">
        <v>0</v>
      </c>
      <c r="AP845" s="100">
        <f t="shared" si="500"/>
        <v>131158</v>
      </c>
      <c r="AQ845" s="101">
        <f t="shared" si="501"/>
        <v>2754312</v>
      </c>
      <c r="AR845" s="101">
        <v>0</v>
      </c>
      <c r="AS845" s="101">
        <v>0</v>
      </c>
      <c r="AT845" s="102" t="s">
        <v>33</v>
      </c>
      <c r="AU845" s="109" t="s">
        <v>118</v>
      </c>
      <c r="AV845" s="100">
        <v>0</v>
      </c>
      <c r="AW845" s="262">
        <v>0</v>
      </c>
      <c r="AX845" s="216">
        <f t="shared" si="504"/>
        <v>1.4959237040455293</v>
      </c>
      <c r="AY845" s="217">
        <f t="shared" si="505"/>
        <v>39241</v>
      </c>
      <c r="AZ845" s="107"/>
      <c r="BA845" s="94">
        <v>45626.666666666664</v>
      </c>
      <c r="BB845" s="94">
        <v>45626.697916666664</v>
      </c>
      <c r="BC845" s="94">
        <v>45626.722222222219</v>
      </c>
      <c r="BD845" s="94">
        <v>45626.857638888891</v>
      </c>
      <c r="BE845" s="95">
        <f t="shared" si="506"/>
        <v>0.19097222222626442</v>
      </c>
      <c r="BF845" s="95">
        <v>0</v>
      </c>
      <c r="BG845" s="95">
        <v>3.2638888888888891E-2</v>
      </c>
      <c r="BH845" s="95">
        <f t="shared" si="507"/>
        <v>3.125E-2</v>
      </c>
      <c r="BI845" s="95">
        <f t="shared" si="507"/>
        <v>2.4305555554747116E-2</v>
      </c>
      <c r="BJ845" s="95">
        <f t="shared" si="507"/>
        <v>0.13541666667151731</v>
      </c>
      <c r="BK845" s="95">
        <f t="shared" si="508"/>
        <v>0.15972222222626442</v>
      </c>
      <c r="BL845" s="95">
        <f t="shared" si="509"/>
        <v>0.12708333333737554</v>
      </c>
      <c r="BM845" s="95" t="str">
        <f t="shared" si="510"/>
        <v>00:00</v>
      </c>
      <c r="BN845" s="110"/>
    </row>
    <row r="846" spans="1:66" s="8" customFormat="1" ht="12.75" customHeight="1" x14ac:dyDescent="0.25">
      <c r="A846" s="150">
        <v>774</v>
      </c>
      <c r="B846" s="150">
        <v>83</v>
      </c>
      <c r="C846" s="90">
        <v>13</v>
      </c>
      <c r="D846" s="111" t="s">
        <v>113</v>
      </c>
      <c r="E846" s="210" t="s">
        <v>940</v>
      </c>
      <c r="F846" s="150" t="s">
        <v>29</v>
      </c>
      <c r="G846" s="150" t="s">
        <v>15</v>
      </c>
      <c r="H846" s="150" t="s">
        <v>124</v>
      </c>
      <c r="I846" s="150" t="s">
        <v>979</v>
      </c>
      <c r="J846" s="151">
        <v>45626</v>
      </c>
      <c r="K846" s="135" t="s">
        <v>117</v>
      </c>
      <c r="L846" s="135">
        <v>261006110</v>
      </c>
      <c r="M846" s="151">
        <v>45626</v>
      </c>
      <c r="N846" s="152">
        <v>45626.8125</v>
      </c>
      <c r="O846" s="152">
        <v>45626.8125</v>
      </c>
      <c r="P846" s="152">
        <v>45626.815972222219</v>
      </c>
      <c r="Q846" s="152">
        <v>45626.989583333336</v>
      </c>
      <c r="R846" s="152" t="s">
        <v>118</v>
      </c>
      <c r="S846" s="152">
        <v>45627.0625</v>
      </c>
      <c r="T846" s="152">
        <v>45627.104166666664</v>
      </c>
      <c r="U846" s="152">
        <v>45627.245833333334</v>
      </c>
      <c r="V846" s="219">
        <f t="shared" si="502"/>
        <v>0.17708333333575865</v>
      </c>
      <c r="W846" s="203">
        <v>0.20833333333333334</v>
      </c>
      <c r="X846" s="219" t="str">
        <f t="shared" si="503"/>
        <v>00:00</v>
      </c>
      <c r="Y846" s="96">
        <v>0</v>
      </c>
      <c r="Z846" s="96">
        <v>59</v>
      </c>
      <c r="AA846" s="96">
        <f t="shared" si="475"/>
        <v>59</v>
      </c>
      <c r="AB846" s="97">
        <f t="shared" si="476"/>
        <v>0</v>
      </c>
      <c r="AC846" s="97">
        <f t="shared" si="477"/>
        <v>3905.1799999999994</v>
      </c>
      <c r="AD846" s="98">
        <v>3905.18</v>
      </c>
      <c r="AE846" s="98">
        <v>4098.3999999999996</v>
      </c>
      <c r="AF846" s="98">
        <v>4098.3999999999996</v>
      </c>
      <c r="AG846" s="98">
        <f t="shared" si="478"/>
        <v>193.2199999999998</v>
      </c>
      <c r="AH846" s="99">
        <v>797.2</v>
      </c>
      <c r="AI846" s="100">
        <f t="shared" si="479"/>
        <v>3267244.48</v>
      </c>
      <c r="AJ846" s="100">
        <f>(0*AH846)*2</f>
        <v>0</v>
      </c>
      <c r="AK846" s="100">
        <v>0</v>
      </c>
      <c r="AL846" s="100">
        <v>0</v>
      </c>
      <c r="AM846" s="100">
        <v>0</v>
      </c>
      <c r="AN846" s="100">
        <v>0</v>
      </c>
      <c r="AO846" s="100">
        <v>0</v>
      </c>
      <c r="AP846" s="100">
        <f t="shared" si="500"/>
        <v>163363</v>
      </c>
      <c r="AQ846" s="101">
        <f t="shared" si="501"/>
        <v>3430608</v>
      </c>
      <c r="AR846" s="101">
        <v>0</v>
      </c>
      <c r="AS846" s="101">
        <v>0</v>
      </c>
      <c r="AT846" s="102" t="s">
        <v>33</v>
      </c>
      <c r="AU846" s="109" t="s">
        <v>118</v>
      </c>
      <c r="AV846" s="100">
        <v>0</v>
      </c>
      <c r="AW846" s="105">
        <v>1</v>
      </c>
      <c r="AX846" s="216">
        <f t="shared" si="504"/>
        <v>4.7145227405816854</v>
      </c>
      <c r="AY846" s="217">
        <f t="shared" si="505"/>
        <v>154035</v>
      </c>
      <c r="AZ846" s="107"/>
      <c r="BA846" s="94">
        <v>45626.8125</v>
      </c>
      <c r="BB846" s="94">
        <v>45626.815972222219</v>
      </c>
      <c r="BC846" s="94">
        <v>45626.888888888891</v>
      </c>
      <c r="BD846" s="94">
        <v>45627.072916666664</v>
      </c>
      <c r="BE846" s="95">
        <f t="shared" si="506"/>
        <v>0.26041666666424135</v>
      </c>
      <c r="BF846" s="95">
        <v>3.4027777777777775E-2</v>
      </c>
      <c r="BG846" s="95">
        <v>0.11180555555555556</v>
      </c>
      <c r="BH846" s="95">
        <f t="shared" si="507"/>
        <v>3.4722222189884633E-3</v>
      </c>
      <c r="BI846" s="95">
        <f t="shared" si="507"/>
        <v>7.2916666671517305E-2</v>
      </c>
      <c r="BJ846" s="95">
        <f t="shared" si="507"/>
        <v>0.18402777777373558</v>
      </c>
      <c r="BK846" s="95">
        <f t="shared" si="508"/>
        <v>0.25694444444525288</v>
      </c>
      <c r="BL846" s="95">
        <f t="shared" si="509"/>
        <v>0.11111111111191956</v>
      </c>
      <c r="BM846" s="95">
        <f t="shared" si="510"/>
        <v>5.2083333330908005E-2</v>
      </c>
      <c r="BN846" s="110"/>
    </row>
    <row r="847" spans="1:66" s="8" customFormat="1" ht="12.75" customHeight="1" x14ac:dyDescent="0.25">
      <c r="A847" s="150">
        <v>775</v>
      </c>
      <c r="B847" s="150">
        <v>1</v>
      </c>
      <c r="C847" s="90">
        <v>8</v>
      </c>
      <c r="D847" s="111" t="s">
        <v>148</v>
      </c>
      <c r="E847" s="210" t="s">
        <v>975</v>
      </c>
      <c r="F847" s="150" t="s">
        <v>16</v>
      </c>
      <c r="G847" s="150" t="s">
        <v>17</v>
      </c>
      <c r="H847" s="150" t="s">
        <v>150</v>
      </c>
      <c r="I847" s="150" t="s">
        <v>336</v>
      </c>
      <c r="J847" s="151">
        <v>45626</v>
      </c>
      <c r="K847" s="135" t="s">
        <v>122</v>
      </c>
      <c r="L847" s="135">
        <v>461000574</v>
      </c>
      <c r="M847" s="151">
        <v>45627</v>
      </c>
      <c r="N847" s="152">
        <v>45627.114583333336</v>
      </c>
      <c r="O847" s="152">
        <v>45627.114583333336</v>
      </c>
      <c r="P847" s="152">
        <v>45627.131944444445</v>
      </c>
      <c r="Q847" s="152">
        <v>45627.322916666664</v>
      </c>
      <c r="R847" s="152" t="s">
        <v>118</v>
      </c>
      <c r="S847" s="152" t="s">
        <v>118</v>
      </c>
      <c r="T847" s="152">
        <v>45627.333333333336</v>
      </c>
      <c r="U847" s="152">
        <v>45627.416666666664</v>
      </c>
      <c r="V847" s="219">
        <f t="shared" si="502"/>
        <v>0.20833333332848269</v>
      </c>
      <c r="W847" s="203">
        <v>0.20833333333333334</v>
      </c>
      <c r="X847" s="219" t="str">
        <f t="shared" si="503"/>
        <v>00:00</v>
      </c>
      <c r="Y847" s="96">
        <v>0</v>
      </c>
      <c r="Z847" s="96">
        <v>59</v>
      </c>
      <c r="AA847" s="96">
        <f t="shared" si="475"/>
        <v>59</v>
      </c>
      <c r="AB847" s="97">
        <f t="shared" si="476"/>
        <v>0</v>
      </c>
      <c r="AC847" s="97">
        <f t="shared" si="477"/>
        <v>4053.75</v>
      </c>
      <c r="AD847" s="98">
        <v>4053.75</v>
      </c>
      <c r="AE847" s="98">
        <v>4110.5</v>
      </c>
      <c r="AF847" s="98">
        <v>4120.6000000000004</v>
      </c>
      <c r="AG847" s="98">
        <f t="shared" si="478"/>
        <v>66.850000000000364</v>
      </c>
      <c r="AH847" s="99">
        <v>672.5</v>
      </c>
      <c r="AI847" s="100">
        <f t="shared" si="479"/>
        <v>2771103.5000000005</v>
      </c>
      <c r="AJ847" s="100">
        <f>(1.2*AH847)*2</f>
        <v>1614</v>
      </c>
      <c r="AK847" s="100">
        <v>0</v>
      </c>
      <c r="AL847" s="100">
        <v>0</v>
      </c>
      <c r="AM847" s="100">
        <v>0</v>
      </c>
      <c r="AN847" s="100">
        <v>0</v>
      </c>
      <c r="AO847" s="100">
        <v>0</v>
      </c>
      <c r="AP847" s="100">
        <f t="shared" si="500"/>
        <v>138636</v>
      </c>
      <c r="AQ847" s="101">
        <f t="shared" si="501"/>
        <v>2911354</v>
      </c>
      <c r="AR847" s="101">
        <v>0</v>
      </c>
      <c r="AS847" s="101">
        <v>0</v>
      </c>
      <c r="AT847" s="102" t="s">
        <v>33</v>
      </c>
      <c r="AU847" s="109" t="s">
        <v>118</v>
      </c>
      <c r="AV847" s="100">
        <v>0</v>
      </c>
      <c r="AW847" s="105">
        <v>0</v>
      </c>
      <c r="AX847" s="216">
        <f t="shared" si="504"/>
        <v>1.6223365529291938</v>
      </c>
      <c r="AY847" s="217">
        <f t="shared" si="505"/>
        <v>44957</v>
      </c>
      <c r="AZ847" s="107"/>
      <c r="BA847" s="94">
        <v>45627.114583333336</v>
      </c>
      <c r="BB847" s="94">
        <v>45627.131944444445</v>
      </c>
      <c r="BC847" s="94">
        <v>45627.131944444445</v>
      </c>
      <c r="BD847" s="94">
        <v>45627.276388888888</v>
      </c>
      <c r="BE847" s="95">
        <f t="shared" si="506"/>
        <v>0.16180555555183673</v>
      </c>
      <c r="BF847" s="95">
        <v>2.7777777777777779E-3</v>
      </c>
      <c r="BG847" s="95">
        <v>4.8611111111111112E-3</v>
      </c>
      <c r="BH847" s="95">
        <f t="shared" si="507"/>
        <v>1.7361111109494232E-2</v>
      </c>
      <c r="BI847" s="95">
        <f t="shared" si="507"/>
        <v>0</v>
      </c>
      <c r="BJ847" s="95">
        <f t="shared" si="507"/>
        <v>0.1444444444423425</v>
      </c>
      <c r="BK847" s="95">
        <f t="shared" si="508"/>
        <v>0.1444444444423425</v>
      </c>
      <c r="BL847" s="95">
        <f t="shared" si="509"/>
        <v>0.13680555555345361</v>
      </c>
      <c r="BM847" s="95" t="str">
        <f t="shared" si="510"/>
        <v>00:00</v>
      </c>
      <c r="BN847" s="110"/>
    </row>
    <row r="848" spans="1:66" s="8" customFormat="1" ht="12.75" customHeight="1" x14ac:dyDescent="0.25">
      <c r="A848" s="150">
        <v>776</v>
      </c>
      <c r="B848" s="150">
        <v>2</v>
      </c>
      <c r="C848" s="90">
        <v>9</v>
      </c>
      <c r="D848" s="111" t="s">
        <v>148</v>
      </c>
      <c r="E848" s="210" t="s">
        <v>975</v>
      </c>
      <c r="F848" s="150" t="s">
        <v>16</v>
      </c>
      <c r="G848" s="150" t="s">
        <v>17</v>
      </c>
      <c r="H848" s="150" t="s">
        <v>150</v>
      </c>
      <c r="I848" s="150" t="s">
        <v>338</v>
      </c>
      <c r="J848" s="151">
        <v>45626</v>
      </c>
      <c r="K848" s="135" t="s">
        <v>117</v>
      </c>
      <c r="L848" s="135">
        <v>461000575</v>
      </c>
      <c r="M848" s="151">
        <v>45627</v>
      </c>
      <c r="N848" s="152">
        <v>45627.291666666664</v>
      </c>
      <c r="O848" s="152">
        <v>45627.291666666664</v>
      </c>
      <c r="P848" s="152">
        <v>45627.295138888891</v>
      </c>
      <c r="Q848" s="152">
        <v>45627.458333333336</v>
      </c>
      <c r="R848" s="152" t="s">
        <v>118</v>
      </c>
      <c r="S848" s="152" t="s">
        <v>118</v>
      </c>
      <c r="T848" s="152">
        <v>45627.552083333336</v>
      </c>
      <c r="U848" s="152">
        <v>45627.6875</v>
      </c>
      <c r="V848" s="219">
        <f t="shared" si="502"/>
        <v>0.16666666667151731</v>
      </c>
      <c r="W848" s="203">
        <v>0.20833333333333334</v>
      </c>
      <c r="X848" s="219" t="str">
        <f t="shared" si="503"/>
        <v>00:00</v>
      </c>
      <c r="Y848" s="96">
        <v>0</v>
      </c>
      <c r="Z848" s="96">
        <v>59</v>
      </c>
      <c r="AA848" s="96">
        <f t="shared" si="475"/>
        <v>59</v>
      </c>
      <c r="AB848" s="97">
        <f t="shared" si="476"/>
        <v>0</v>
      </c>
      <c r="AC848" s="97">
        <f t="shared" si="477"/>
        <v>4148.2700000000004</v>
      </c>
      <c r="AD848" s="98">
        <v>4148.2700000000004</v>
      </c>
      <c r="AE848" s="98">
        <v>4104.3</v>
      </c>
      <c r="AF848" s="98">
        <v>4156.8</v>
      </c>
      <c r="AG848" s="98">
        <f t="shared" si="478"/>
        <v>8.5299999999997453</v>
      </c>
      <c r="AH848" s="99">
        <v>672.5</v>
      </c>
      <c r="AI848" s="100">
        <f t="shared" si="479"/>
        <v>2795448</v>
      </c>
      <c r="AJ848" s="100">
        <f>(0*AH848)*2</f>
        <v>0</v>
      </c>
      <c r="AK848" s="100">
        <v>0</v>
      </c>
      <c r="AL848" s="100">
        <v>48580</v>
      </c>
      <c r="AM848" s="100">
        <v>0</v>
      </c>
      <c r="AN848" s="100">
        <v>0</v>
      </c>
      <c r="AO848" s="100">
        <v>0</v>
      </c>
      <c r="AP848" s="100">
        <f t="shared" si="500"/>
        <v>142202</v>
      </c>
      <c r="AQ848" s="101">
        <f t="shared" si="501"/>
        <v>2986230</v>
      </c>
      <c r="AR848" s="101">
        <v>0</v>
      </c>
      <c r="AS848" s="101">
        <v>0</v>
      </c>
      <c r="AT848" s="102" t="s">
        <v>33</v>
      </c>
      <c r="AU848" s="109">
        <v>43</v>
      </c>
      <c r="AV848" s="100">
        <f>87.3-44.3</f>
        <v>43</v>
      </c>
      <c r="AW848" s="105">
        <v>0</v>
      </c>
      <c r="AX848" s="216">
        <f t="shared" si="504"/>
        <v>0.20520592763663745</v>
      </c>
      <c r="AY848" s="217">
        <f t="shared" si="505"/>
        <v>5737</v>
      </c>
      <c r="AZ848" s="107"/>
      <c r="BA848" s="94">
        <v>45627.28125</v>
      </c>
      <c r="BB848" s="94">
        <v>45627.284722222219</v>
      </c>
      <c r="BC848" s="94">
        <v>45627.284722222219</v>
      </c>
      <c r="BD848" s="94">
        <v>45627.413888888892</v>
      </c>
      <c r="BE848" s="95">
        <f t="shared" si="506"/>
        <v>0.13263888889196096</v>
      </c>
      <c r="BF848" s="95">
        <v>0</v>
      </c>
      <c r="BG848" s="95">
        <v>0</v>
      </c>
      <c r="BH848" s="95">
        <f t="shared" si="507"/>
        <v>3.4722222189884633E-3</v>
      </c>
      <c r="BI848" s="95">
        <f t="shared" si="507"/>
        <v>0</v>
      </c>
      <c r="BJ848" s="95">
        <f t="shared" si="507"/>
        <v>0.1291666666729725</v>
      </c>
      <c r="BK848" s="95">
        <f t="shared" si="508"/>
        <v>0.1291666666729725</v>
      </c>
      <c r="BL848" s="95">
        <f t="shared" si="509"/>
        <v>0.1291666666729725</v>
      </c>
      <c r="BM848" s="95" t="str">
        <f t="shared" si="510"/>
        <v>00:00</v>
      </c>
      <c r="BN848" s="110"/>
    </row>
    <row r="849" spans="1:66" s="8" customFormat="1" ht="12.75" customHeight="1" x14ac:dyDescent="0.25">
      <c r="A849" s="150">
        <v>777</v>
      </c>
      <c r="B849" s="150">
        <v>3</v>
      </c>
      <c r="C849" s="90">
        <v>10</v>
      </c>
      <c r="D849" s="111" t="s">
        <v>148</v>
      </c>
      <c r="E849" s="210" t="s">
        <v>975</v>
      </c>
      <c r="F849" s="150" t="s">
        <v>16</v>
      </c>
      <c r="G849" s="150" t="s">
        <v>17</v>
      </c>
      <c r="H849" s="150" t="s">
        <v>150</v>
      </c>
      <c r="I849" s="150" t="s">
        <v>343</v>
      </c>
      <c r="J849" s="151">
        <v>45626</v>
      </c>
      <c r="K849" s="135" t="s">
        <v>122</v>
      </c>
      <c r="L849" s="135">
        <v>461000576</v>
      </c>
      <c r="M849" s="151">
        <v>45627</v>
      </c>
      <c r="N849" s="152">
        <v>45627.447916666664</v>
      </c>
      <c r="O849" s="152">
        <v>45627.447916666664</v>
      </c>
      <c r="P849" s="152">
        <v>45627.451388888891</v>
      </c>
      <c r="Q849" s="152">
        <v>45627.645833333336</v>
      </c>
      <c r="R849" s="152" t="s">
        <v>118</v>
      </c>
      <c r="S849" s="152" t="s">
        <v>118</v>
      </c>
      <c r="T849" s="152">
        <v>45627.666666666664</v>
      </c>
      <c r="U849" s="152">
        <v>45627.868055555555</v>
      </c>
      <c r="V849" s="219">
        <f t="shared" si="502"/>
        <v>0.19791666667151731</v>
      </c>
      <c r="W849" s="203">
        <v>0.20833333333333334</v>
      </c>
      <c r="X849" s="219" t="str">
        <f t="shared" si="503"/>
        <v>00:00</v>
      </c>
      <c r="Y849" s="96">
        <v>0</v>
      </c>
      <c r="Z849" s="96">
        <v>58</v>
      </c>
      <c r="AA849" s="96">
        <f t="shared" si="475"/>
        <v>58</v>
      </c>
      <c r="AB849" s="97">
        <f t="shared" si="476"/>
        <v>0</v>
      </c>
      <c r="AC849" s="97">
        <f t="shared" si="477"/>
        <v>4007.5099999999998</v>
      </c>
      <c r="AD849" s="98">
        <v>4007.51</v>
      </c>
      <c r="AE849" s="98">
        <v>4029.5</v>
      </c>
      <c r="AF849" s="98">
        <v>4049.4</v>
      </c>
      <c r="AG849" s="98">
        <f t="shared" si="478"/>
        <v>41.889999999999873</v>
      </c>
      <c r="AH849" s="99">
        <v>672.5</v>
      </c>
      <c r="AI849" s="100">
        <f t="shared" si="479"/>
        <v>2723221.5</v>
      </c>
      <c r="AJ849" s="100">
        <f>(0*AH849)*2</f>
        <v>0</v>
      </c>
      <c r="AK849" s="100">
        <v>0</v>
      </c>
      <c r="AL849" s="100">
        <v>24140</v>
      </c>
      <c r="AM849" s="100">
        <v>0</v>
      </c>
      <c r="AN849" s="100">
        <v>0</v>
      </c>
      <c r="AO849" s="100">
        <v>0</v>
      </c>
      <c r="AP849" s="100">
        <f t="shared" si="500"/>
        <v>137369</v>
      </c>
      <c r="AQ849" s="101">
        <f t="shared" si="501"/>
        <v>2884731</v>
      </c>
      <c r="AR849" s="101">
        <v>0</v>
      </c>
      <c r="AS849" s="101">
        <v>0</v>
      </c>
      <c r="AT849" s="102" t="s">
        <v>33</v>
      </c>
      <c r="AU849" s="109">
        <v>11</v>
      </c>
      <c r="AV849" s="100">
        <f>25.9-17.9</f>
        <v>8</v>
      </c>
      <c r="AW849" s="105">
        <v>0</v>
      </c>
      <c r="AX849" s="216">
        <f t="shared" si="504"/>
        <v>1.0344742430977396</v>
      </c>
      <c r="AY849" s="217">
        <f t="shared" si="505"/>
        <v>28172</v>
      </c>
      <c r="AZ849" s="107"/>
      <c r="BA849" s="94">
        <v>45627.447916666664</v>
      </c>
      <c r="BB849" s="94">
        <v>45627.451388888891</v>
      </c>
      <c r="BC849" s="94">
        <v>45627.451388888891</v>
      </c>
      <c r="BD849" s="94">
        <v>45627.571527777778</v>
      </c>
      <c r="BE849" s="95">
        <f t="shared" si="506"/>
        <v>0.12361111111385981</v>
      </c>
      <c r="BF849" s="95">
        <v>0</v>
      </c>
      <c r="BG849" s="95">
        <v>0</v>
      </c>
      <c r="BH849" s="95">
        <f t="shared" si="507"/>
        <v>3.4722222262644209E-3</v>
      </c>
      <c r="BI849" s="95">
        <f t="shared" si="507"/>
        <v>0</v>
      </c>
      <c r="BJ849" s="95">
        <f t="shared" si="507"/>
        <v>0.12013888888759539</v>
      </c>
      <c r="BK849" s="95">
        <f t="shared" si="508"/>
        <v>0.12013888888759539</v>
      </c>
      <c r="BL849" s="95">
        <f t="shared" si="509"/>
        <v>0.12013888888759539</v>
      </c>
      <c r="BM849" s="95" t="str">
        <f t="shared" si="510"/>
        <v>00:00</v>
      </c>
      <c r="BN849" s="110"/>
    </row>
    <row r="850" spans="1:66" s="8" customFormat="1" ht="12.75" customHeight="1" x14ac:dyDescent="0.25">
      <c r="A850" s="150">
        <v>778</v>
      </c>
      <c r="B850" s="150">
        <v>4</v>
      </c>
      <c r="C850" s="90">
        <v>14</v>
      </c>
      <c r="D850" s="111" t="s">
        <v>113</v>
      </c>
      <c r="E850" s="210" t="s">
        <v>940</v>
      </c>
      <c r="F850" s="150" t="s">
        <v>29</v>
      </c>
      <c r="G850" s="150" t="s">
        <v>15</v>
      </c>
      <c r="H850" s="150" t="s">
        <v>124</v>
      </c>
      <c r="I850" s="150" t="s">
        <v>980</v>
      </c>
      <c r="J850" s="151">
        <v>45627</v>
      </c>
      <c r="K850" s="135" t="s">
        <v>117</v>
      </c>
      <c r="L850" s="135">
        <v>461000577</v>
      </c>
      <c r="M850" s="151">
        <v>45628</v>
      </c>
      <c r="N850" s="152">
        <v>45627.770833333336</v>
      </c>
      <c r="O850" s="152">
        <v>45627.770833333336</v>
      </c>
      <c r="P850" s="152">
        <v>45627.777777777781</v>
      </c>
      <c r="Q850" s="152">
        <v>45627.979166666664</v>
      </c>
      <c r="R850" s="152" t="s">
        <v>118</v>
      </c>
      <c r="S850" s="152" t="s">
        <v>118</v>
      </c>
      <c r="T850" s="152">
        <v>45628.020833333336</v>
      </c>
      <c r="U850" s="152">
        <v>45628.151388888888</v>
      </c>
      <c r="V850" s="219">
        <f t="shared" si="502"/>
        <v>0.20833333332848269</v>
      </c>
      <c r="W850" s="203">
        <v>0.20833333333333334</v>
      </c>
      <c r="X850" s="219" t="str">
        <f t="shared" si="503"/>
        <v>00:00</v>
      </c>
      <c r="Y850" s="96">
        <v>0</v>
      </c>
      <c r="Z850" s="96">
        <v>58</v>
      </c>
      <c r="AA850" s="96">
        <f t="shared" si="475"/>
        <v>58</v>
      </c>
      <c r="AB850" s="97">
        <f t="shared" si="476"/>
        <v>0</v>
      </c>
      <c r="AC850" s="97">
        <f t="shared" si="477"/>
        <v>3912.16</v>
      </c>
      <c r="AD850" s="98">
        <v>3912.16</v>
      </c>
      <c r="AE850" s="98">
        <v>4031.5</v>
      </c>
      <c r="AF850" s="98">
        <v>4032</v>
      </c>
      <c r="AG850" s="98">
        <f t="shared" si="478"/>
        <v>119.84000000000015</v>
      </c>
      <c r="AH850" s="99">
        <v>797.2</v>
      </c>
      <c r="AI850" s="100">
        <f t="shared" si="479"/>
        <v>3214310.4000000004</v>
      </c>
      <c r="AJ850" s="100">
        <f>(0*AH850)*2</f>
        <v>0</v>
      </c>
      <c r="AK850" s="100">
        <v>0</v>
      </c>
      <c r="AL850" s="100">
        <v>0</v>
      </c>
      <c r="AM850" s="100">
        <v>0</v>
      </c>
      <c r="AN850" s="100">
        <v>0</v>
      </c>
      <c r="AO850" s="100">
        <v>0</v>
      </c>
      <c r="AP850" s="100">
        <f t="shared" si="500"/>
        <v>160716</v>
      </c>
      <c r="AQ850" s="101">
        <f t="shared" si="501"/>
        <v>3375027</v>
      </c>
      <c r="AR850" s="101">
        <v>0</v>
      </c>
      <c r="AS850" s="101">
        <v>0</v>
      </c>
      <c r="AT850" s="102" t="s">
        <v>33</v>
      </c>
      <c r="AU850" s="109" t="s">
        <v>118</v>
      </c>
      <c r="AV850" s="100">
        <v>0</v>
      </c>
      <c r="AW850" s="105">
        <v>0</v>
      </c>
      <c r="AX850" s="216">
        <f t="shared" si="504"/>
        <v>2.9722222222222259</v>
      </c>
      <c r="AY850" s="217">
        <f t="shared" si="505"/>
        <v>95537</v>
      </c>
      <c r="AZ850" s="107"/>
      <c r="BA850" s="94">
        <v>45627.770833333336</v>
      </c>
      <c r="BB850" s="94">
        <v>45627.777777777781</v>
      </c>
      <c r="BC850" s="94">
        <v>45627.784722222219</v>
      </c>
      <c r="BD850" s="94">
        <v>45627.945833333331</v>
      </c>
      <c r="BE850" s="95">
        <f t="shared" si="506"/>
        <v>0.17499999999563443</v>
      </c>
      <c r="BF850" s="95">
        <v>0</v>
      </c>
      <c r="BG850" s="95">
        <v>5.8333333333333334E-2</v>
      </c>
      <c r="BH850" s="95">
        <f t="shared" si="507"/>
        <v>6.9444444452528842E-3</v>
      </c>
      <c r="BI850" s="95">
        <f t="shared" si="507"/>
        <v>6.9444444379769266E-3</v>
      </c>
      <c r="BJ850" s="95">
        <f t="shared" si="507"/>
        <v>0.16111111111240461</v>
      </c>
      <c r="BK850" s="95">
        <f t="shared" si="508"/>
        <v>0.16805555555038154</v>
      </c>
      <c r="BL850" s="95">
        <f t="shared" si="509"/>
        <v>0.10972222221704821</v>
      </c>
      <c r="BM850" s="95" t="str">
        <f t="shared" si="510"/>
        <v>00:00</v>
      </c>
      <c r="BN850" s="110"/>
    </row>
    <row r="851" spans="1:66" s="8" customFormat="1" ht="12.75" customHeight="1" x14ac:dyDescent="0.25">
      <c r="A851" s="150">
        <v>779</v>
      </c>
      <c r="B851" s="150">
        <v>5</v>
      </c>
      <c r="C851" s="90">
        <v>11</v>
      </c>
      <c r="D851" s="111" t="s">
        <v>148</v>
      </c>
      <c r="E851" s="210" t="s">
        <v>975</v>
      </c>
      <c r="F851" s="150" t="s">
        <v>16</v>
      </c>
      <c r="G851" s="150" t="s">
        <v>17</v>
      </c>
      <c r="H851" s="150" t="s">
        <v>150</v>
      </c>
      <c r="I851" s="150" t="s">
        <v>345</v>
      </c>
      <c r="J851" s="151">
        <v>45626</v>
      </c>
      <c r="K851" s="135" t="s">
        <v>122</v>
      </c>
      <c r="L851" s="135">
        <v>461000578</v>
      </c>
      <c r="M851" s="151">
        <v>45628</v>
      </c>
      <c r="N851" s="152">
        <v>45627.989583333336</v>
      </c>
      <c r="O851" s="152">
        <v>45627.989583333336</v>
      </c>
      <c r="P851" s="152">
        <v>45628.003472222219</v>
      </c>
      <c r="Q851" s="152">
        <v>45628.1875</v>
      </c>
      <c r="R851" s="152" t="s">
        <v>118</v>
      </c>
      <c r="S851" s="152" t="s">
        <v>118</v>
      </c>
      <c r="T851" s="152">
        <v>45628.291666666664</v>
      </c>
      <c r="U851" s="152">
        <v>45628.416666666664</v>
      </c>
      <c r="V851" s="219">
        <f t="shared" si="502"/>
        <v>0.19791666666424135</v>
      </c>
      <c r="W851" s="203">
        <v>0.20833333333333334</v>
      </c>
      <c r="X851" s="219" t="str">
        <f t="shared" si="503"/>
        <v>00:00</v>
      </c>
      <c r="Y851" s="96">
        <v>0</v>
      </c>
      <c r="Z851" s="96">
        <v>59</v>
      </c>
      <c r="AA851" s="96">
        <f t="shared" si="475"/>
        <v>59</v>
      </c>
      <c r="AB851" s="97">
        <f t="shared" si="476"/>
        <v>0</v>
      </c>
      <c r="AC851" s="97">
        <f t="shared" si="477"/>
        <v>4067.9300000000003</v>
      </c>
      <c r="AD851" s="98">
        <v>4067.93</v>
      </c>
      <c r="AE851" s="98">
        <v>4098.5</v>
      </c>
      <c r="AF851" s="98">
        <v>4109.6000000000004</v>
      </c>
      <c r="AG851" s="98">
        <f t="shared" si="478"/>
        <v>41.670000000000528</v>
      </c>
      <c r="AH851" s="99">
        <v>672.5</v>
      </c>
      <c r="AI851" s="100">
        <f t="shared" si="479"/>
        <v>2763706.0000000005</v>
      </c>
      <c r="AJ851" s="100">
        <f>(0*AH851)*2</f>
        <v>0</v>
      </c>
      <c r="AK851" s="100">
        <v>0</v>
      </c>
      <c r="AL851" s="100">
        <v>24290</v>
      </c>
      <c r="AM851" s="100">
        <v>0</v>
      </c>
      <c r="AN851" s="100">
        <v>0</v>
      </c>
      <c r="AO851" s="100">
        <v>0</v>
      </c>
      <c r="AP851" s="100">
        <f t="shared" si="500"/>
        <v>139400</v>
      </c>
      <c r="AQ851" s="101">
        <f t="shared" si="501"/>
        <v>2927396</v>
      </c>
      <c r="AR851" s="101">
        <v>0</v>
      </c>
      <c r="AS851" s="101">
        <v>0</v>
      </c>
      <c r="AT851" s="102" t="s">
        <v>33</v>
      </c>
      <c r="AU851" s="109">
        <v>7</v>
      </c>
      <c r="AV851" s="100">
        <f>14.2-9.2</f>
        <v>5</v>
      </c>
      <c r="AW851" s="105">
        <v>0</v>
      </c>
      <c r="AX851" s="216">
        <f t="shared" si="504"/>
        <v>1.0139672960872232</v>
      </c>
      <c r="AY851" s="217">
        <f t="shared" si="505"/>
        <v>28024</v>
      </c>
      <c r="AZ851" s="107"/>
      <c r="BA851" s="94">
        <v>45627.989583333336</v>
      </c>
      <c r="BB851" s="94">
        <v>45628.003472222219</v>
      </c>
      <c r="BC851" s="94">
        <v>45628.003472222219</v>
      </c>
      <c r="BD851" s="94">
        <v>45628.125</v>
      </c>
      <c r="BE851" s="95">
        <f t="shared" si="506"/>
        <v>0.13541666666424135</v>
      </c>
      <c r="BF851" s="95">
        <v>0</v>
      </c>
      <c r="BG851" s="95">
        <v>0</v>
      </c>
      <c r="BH851" s="95">
        <f t="shared" si="507"/>
        <v>1.3888888883229811E-2</v>
      </c>
      <c r="BI851" s="95">
        <f t="shared" si="507"/>
        <v>0</v>
      </c>
      <c r="BJ851" s="95">
        <f t="shared" si="507"/>
        <v>0.12152777778101154</v>
      </c>
      <c r="BK851" s="95">
        <f t="shared" si="508"/>
        <v>0.12152777778101154</v>
      </c>
      <c r="BL851" s="95">
        <f t="shared" si="509"/>
        <v>0.12152777778101154</v>
      </c>
      <c r="BM851" s="95" t="str">
        <f t="shared" si="510"/>
        <v>00:00</v>
      </c>
      <c r="BN851" s="110"/>
    </row>
    <row r="852" spans="1:66" s="8" customFormat="1" ht="12.75" customHeight="1" x14ac:dyDescent="0.25">
      <c r="A852" s="150">
        <v>780</v>
      </c>
      <c r="B852" s="150">
        <v>6</v>
      </c>
      <c r="C852" s="90">
        <v>12</v>
      </c>
      <c r="D852" s="111" t="s">
        <v>148</v>
      </c>
      <c r="E852" s="210" t="s">
        <v>975</v>
      </c>
      <c r="F852" s="150" t="s">
        <v>16</v>
      </c>
      <c r="G852" s="150" t="s">
        <v>17</v>
      </c>
      <c r="H852" s="150" t="s">
        <v>150</v>
      </c>
      <c r="I852" s="150" t="s">
        <v>347</v>
      </c>
      <c r="J852" s="151">
        <v>45626</v>
      </c>
      <c r="K852" s="135" t="s">
        <v>117</v>
      </c>
      <c r="L852" s="135">
        <v>461000579</v>
      </c>
      <c r="M852" s="151">
        <v>45628</v>
      </c>
      <c r="N852" s="152">
        <v>45628.270833333336</v>
      </c>
      <c r="O852" s="152">
        <v>45628.270833333336</v>
      </c>
      <c r="P852" s="152">
        <v>45628.274305555555</v>
      </c>
      <c r="Q852" s="152">
        <v>45628.4375</v>
      </c>
      <c r="R852" s="152" t="s">
        <v>118</v>
      </c>
      <c r="S852" s="152" t="s">
        <v>118</v>
      </c>
      <c r="T852" s="152">
        <v>45628.479166666664</v>
      </c>
      <c r="U852" s="152">
        <v>45628.756944444445</v>
      </c>
      <c r="V852" s="219">
        <f t="shared" si="502"/>
        <v>0.16666666666424135</v>
      </c>
      <c r="W852" s="203">
        <v>0.20833333333333334</v>
      </c>
      <c r="X852" s="219" t="str">
        <f t="shared" si="503"/>
        <v>00:00</v>
      </c>
      <c r="Y852" s="96">
        <v>0</v>
      </c>
      <c r="Z852" s="96">
        <v>58</v>
      </c>
      <c r="AA852" s="96">
        <f t="shared" si="475"/>
        <v>58</v>
      </c>
      <c r="AB852" s="97">
        <f t="shared" si="476"/>
        <v>0</v>
      </c>
      <c r="AC852" s="97">
        <f t="shared" si="477"/>
        <v>4035.0599999999995</v>
      </c>
      <c r="AD852" s="98">
        <v>4035.06</v>
      </c>
      <c r="AE852" s="98">
        <v>4019.8</v>
      </c>
      <c r="AF852" s="98">
        <v>4049.2</v>
      </c>
      <c r="AG852" s="98">
        <f t="shared" si="478"/>
        <v>14.139999999999873</v>
      </c>
      <c r="AH852" s="99">
        <v>672.5</v>
      </c>
      <c r="AI852" s="100">
        <f t="shared" si="479"/>
        <v>2723087</v>
      </c>
      <c r="AJ852" s="100">
        <f>(0*AH852)*2</f>
        <v>0</v>
      </c>
      <c r="AK852" s="100">
        <v>0</v>
      </c>
      <c r="AL852" s="100">
        <v>24140</v>
      </c>
      <c r="AM852" s="100">
        <v>0</v>
      </c>
      <c r="AN852" s="100">
        <v>0</v>
      </c>
      <c r="AO852" s="100">
        <v>0</v>
      </c>
      <c r="AP852" s="100">
        <f t="shared" si="500"/>
        <v>137362</v>
      </c>
      <c r="AQ852" s="101">
        <f t="shared" si="501"/>
        <v>2884589</v>
      </c>
      <c r="AR852" s="101">
        <v>0</v>
      </c>
      <c r="AS852" s="101">
        <v>0</v>
      </c>
      <c r="AT852" s="102" t="s">
        <v>33</v>
      </c>
      <c r="AU852" s="109">
        <v>16</v>
      </c>
      <c r="AV852" s="100">
        <f>39.37-26.37</f>
        <v>12.999999999999996</v>
      </c>
      <c r="AW852" s="105">
        <v>0</v>
      </c>
      <c r="AX852" s="216">
        <f t="shared" si="504"/>
        <v>0.34920478119134329</v>
      </c>
      <c r="AY852" s="217">
        <f t="shared" si="505"/>
        <v>9510</v>
      </c>
      <c r="AZ852" s="107"/>
      <c r="BA852" s="94">
        <v>45628.270833333336</v>
      </c>
      <c r="BB852" s="94">
        <v>45628.274305555555</v>
      </c>
      <c r="BC852" s="94">
        <v>45628.274305555555</v>
      </c>
      <c r="BD852" s="94">
        <v>45628.415277777778</v>
      </c>
      <c r="BE852" s="95">
        <f t="shared" si="506"/>
        <v>0.1444444444423425</v>
      </c>
      <c r="BF852" s="95">
        <v>1.7361111111111112E-2</v>
      </c>
      <c r="BG852" s="95">
        <v>0</v>
      </c>
      <c r="BH852" s="95">
        <f t="shared" si="507"/>
        <v>3.4722222189884633E-3</v>
      </c>
      <c r="BI852" s="95">
        <f t="shared" si="507"/>
        <v>0</v>
      </c>
      <c r="BJ852" s="95">
        <f t="shared" si="507"/>
        <v>0.14097222222335404</v>
      </c>
      <c r="BK852" s="95">
        <f t="shared" si="508"/>
        <v>0.14097222222335404</v>
      </c>
      <c r="BL852" s="95">
        <f t="shared" si="509"/>
        <v>0.12361111111224293</v>
      </c>
      <c r="BM852" s="95" t="str">
        <f t="shared" si="510"/>
        <v>00:00</v>
      </c>
      <c r="BN852" s="110"/>
    </row>
    <row r="853" spans="1:66" s="8" customFormat="1" ht="12.75" customHeight="1" x14ac:dyDescent="0.25">
      <c r="A853" s="150">
        <v>781</v>
      </c>
      <c r="B853" s="150">
        <v>7</v>
      </c>
      <c r="C853" s="90">
        <v>13</v>
      </c>
      <c r="D853" s="111" t="s">
        <v>148</v>
      </c>
      <c r="E853" s="210" t="s">
        <v>975</v>
      </c>
      <c r="F853" s="150" t="s">
        <v>16</v>
      </c>
      <c r="G853" s="150" t="s">
        <v>17</v>
      </c>
      <c r="H853" s="150" t="s">
        <v>150</v>
      </c>
      <c r="I853" s="150" t="s">
        <v>349</v>
      </c>
      <c r="J853" s="151">
        <v>45626</v>
      </c>
      <c r="K853" s="135" t="s">
        <v>122</v>
      </c>
      <c r="L853" s="135">
        <v>461000580</v>
      </c>
      <c r="M853" s="151">
        <v>45629</v>
      </c>
      <c r="N853" s="152">
        <v>45628.697916666664</v>
      </c>
      <c r="O853" s="152">
        <v>45628.6875</v>
      </c>
      <c r="P853" s="152">
        <v>45628.701388888891</v>
      </c>
      <c r="Q853" s="152">
        <v>45628.885416666664</v>
      </c>
      <c r="R853" s="152">
        <v>45628.697916666664</v>
      </c>
      <c r="S853" s="152" t="s">
        <v>118</v>
      </c>
      <c r="T853" s="152">
        <v>45628.958333333336</v>
      </c>
      <c r="U853" s="152">
        <v>45629.175000000003</v>
      </c>
      <c r="V853" s="219">
        <f t="shared" si="502"/>
        <v>0.19791666666424135</v>
      </c>
      <c r="W853" s="203">
        <v>0.20833333333333334</v>
      </c>
      <c r="X853" s="219" t="str">
        <f t="shared" si="503"/>
        <v>00:00</v>
      </c>
      <c r="Y853" s="96">
        <v>0</v>
      </c>
      <c r="Z853" s="96">
        <v>58</v>
      </c>
      <c r="AA853" s="96">
        <f t="shared" si="475"/>
        <v>58</v>
      </c>
      <c r="AB853" s="97">
        <f t="shared" si="476"/>
        <v>0</v>
      </c>
      <c r="AC853" s="97">
        <f t="shared" si="477"/>
        <v>4033.44</v>
      </c>
      <c r="AD853" s="98">
        <v>4033.44</v>
      </c>
      <c r="AE853" s="98">
        <v>4032.4</v>
      </c>
      <c r="AF853" s="98">
        <v>4042.8</v>
      </c>
      <c r="AG853" s="98">
        <f t="shared" si="478"/>
        <v>9.3600000000001273</v>
      </c>
      <c r="AH853" s="99">
        <v>672.5</v>
      </c>
      <c r="AI853" s="100">
        <f t="shared" si="479"/>
        <v>2718783</v>
      </c>
      <c r="AJ853" s="100">
        <f>(11.4*AH853)*3</f>
        <v>22999.5</v>
      </c>
      <c r="AK853" s="100">
        <v>0</v>
      </c>
      <c r="AL853" s="100">
        <v>0</v>
      </c>
      <c r="AM853" s="100">
        <v>0</v>
      </c>
      <c r="AN853" s="100">
        <v>0</v>
      </c>
      <c r="AO853" s="100">
        <v>0</v>
      </c>
      <c r="AP853" s="100">
        <f t="shared" si="500"/>
        <v>137090</v>
      </c>
      <c r="AQ853" s="101">
        <f t="shared" si="501"/>
        <v>2878873</v>
      </c>
      <c r="AR853" s="101">
        <v>0</v>
      </c>
      <c r="AS853" s="101">
        <v>0</v>
      </c>
      <c r="AT853" s="102" t="s">
        <v>33</v>
      </c>
      <c r="AU853" s="109" t="s">
        <v>118</v>
      </c>
      <c r="AV853" s="100">
        <v>0</v>
      </c>
      <c r="AW853" s="105">
        <v>0</v>
      </c>
      <c r="AX853" s="216">
        <f t="shared" si="504"/>
        <v>0.23152270703473157</v>
      </c>
      <c r="AY853" s="217">
        <f t="shared" si="505"/>
        <v>6295</v>
      </c>
      <c r="AZ853" s="107"/>
      <c r="BA853" s="94">
        <v>45628.697916666664</v>
      </c>
      <c r="BB853" s="94">
        <v>45628.701388888891</v>
      </c>
      <c r="BC853" s="94">
        <v>45628.701388888891</v>
      </c>
      <c r="BD853" s="94">
        <v>45628.819444444445</v>
      </c>
      <c r="BE853" s="95">
        <f t="shared" si="506"/>
        <v>0.12152777778101154</v>
      </c>
      <c r="BF853" s="95">
        <v>0</v>
      </c>
      <c r="BG853" s="95">
        <v>0</v>
      </c>
      <c r="BH853" s="95">
        <f t="shared" si="507"/>
        <v>3.4722222262644209E-3</v>
      </c>
      <c r="BI853" s="95">
        <f t="shared" si="507"/>
        <v>0</v>
      </c>
      <c r="BJ853" s="95">
        <f t="shared" si="507"/>
        <v>0.11805555555474712</v>
      </c>
      <c r="BK853" s="95">
        <f t="shared" si="508"/>
        <v>0.11805555555474712</v>
      </c>
      <c r="BL853" s="95">
        <f t="shared" si="509"/>
        <v>0.11805555555474712</v>
      </c>
      <c r="BM853" s="95" t="str">
        <f t="shared" si="510"/>
        <v>00:00</v>
      </c>
      <c r="BN853" s="110"/>
    </row>
    <row r="854" spans="1:66" s="8" customFormat="1" ht="12.75" customHeight="1" x14ac:dyDescent="0.25">
      <c r="A854" s="150">
        <v>782</v>
      </c>
      <c r="B854" s="150">
        <v>8</v>
      </c>
      <c r="C854" s="90">
        <v>5</v>
      </c>
      <c r="D854" s="111" t="s">
        <v>113</v>
      </c>
      <c r="E854" s="210" t="s">
        <v>948</v>
      </c>
      <c r="F854" s="150" t="s">
        <v>14</v>
      </c>
      <c r="G854" s="150" t="s">
        <v>15</v>
      </c>
      <c r="H854" s="150" t="s">
        <v>779</v>
      </c>
      <c r="I854" s="150" t="s">
        <v>448</v>
      </c>
      <c r="J854" s="151">
        <v>45628</v>
      </c>
      <c r="K854" s="135" t="s">
        <v>117</v>
      </c>
      <c r="L854" s="135">
        <v>281000267</v>
      </c>
      <c r="M854" s="151">
        <v>45629</v>
      </c>
      <c r="N854" s="152">
        <v>45628.895833333336</v>
      </c>
      <c r="O854" s="152">
        <v>45628.895833333336</v>
      </c>
      <c r="P854" s="152">
        <v>45628.902777777781</v>
      </c>
      <c r="Q854" s="152">
        <v>45629.083333333336</v>
      </c>
      <c r="R854" s="152" t="s">
        <v>118</v>
      </c>
      <c r="S854" s="152" t="s">
        <v>118</v>
      </c>
      <c r="T854" s="152">
        <v>45629.229166666664</v>
      </c>
      <c r="U854" s="152">
        <v>45629.352083333331</v>
      </c>
      <c r="V854" s="219">
        <f t="shared" si="502"/>
        <v>0.1875</v>
      </c>
      <c r="W854" s="203">
        <v>0.20833333333333334</v>
      </c>
      <c r="X854" s="219" t="str">
        <f t="shared" si="503"/>
        <v>00:00</v>
      </c>
      <c r="Y854" s="96">
        <v>0</v>
      </c>
      <c r="Z854" s="96">
        <v>58</v>
      </c>
      <c r="AA854" s="96">
        <f t="shared" si="475"/>
        <v>58</v>
      </c>
      <c r="AB854" s="97">
        <f t="shared" si="476"/>
        <v>0</v>
      </c>
      <c r="AC854" s="97">
        <f t="shared" si="477"/>
        <v>3999.27</v>
      </c>
      <c r="AD854" s="98">
        <v>3999.27</v>
      </c>
      <c r="AE854" s="98">
        <v>4056.8</v>
      </c>
      <c r="AF854" s="98">
        <v>4063.2</v>
      </c>
      <c r="AG854" s="98">
        <f t="shared" si="478"/>
        <v>63.929999999999836</v>
      </c>
      <c r="AH854" s="99">
        <v>1435.6</v>
      </c>
      <c r="AI854" s="100">
        <f t="shared" si="479"/>
        <v>5833129.919999999</v>
      </c>
      <c r="AJ854" s="100">
        <f>(0.6*AH854)*2</f>
        <v>1722.7199999999998</v>
      </c>
      <c r="AK854" s="100">
        <v>0</v>
      </c>
      <c r="AL854" s="100">
        <v>0</v>
      </c>
      <c r="AM854" s="100">
        <v>0</v>
      </c>
      <c r="AN854" s="100">
        <v>0</v>
      </c>
      <c r="AO854" s="100">
        <v>0</v>
      </c>
      <c r="AP854" s="100">
        <f t="shared" si="500"/>
        <v>291743</v>
      </c>
      <c r="AQ854" s="101">
        <f t="shared" si="501"/>
        <v>6126596</v>
      </c>
      <c r="AR854" s="101">
        <v>0</v>
      </c>
      <c r="AS854" s="101">
        <v>0</v>
      </c>
      <c r="AT854" s="102" t="s">
        <v>33</v>
      </c>
      <c r="AU854" s="109" t="s">
        <v>118</v>
      </c>
      <c r="AV854" s="100">
        <v>0</v>
      </c>
      <c r="AW854" s="105">
        <v>0</v>
      </c>
      <c r="AX854" s="216">
        <f t="shared" si="504"/>
        <v>1.5733904311872375</v>
      </c>
      <c r="AY854" s="217">
        <f t="shared" si="505"/>
        <v>91778</v>
      </c>
      <c r="AZ854" s="107"/>
      <c r="BA854" s="94">
        <v>45628.895833333336</v>
      </c>
      <c r="BB854" s="94">
        <v>45628.902777777781</v>
      </c>
      <c r="BC854" s="94">
        <v>45628.902777777781</v>
      </c>
      <c r="BD854" s="94">
        <v>45629.056250000001</v>
      </c>
      <c r="BE854" s="95">
        <f t="shared" si="506"/>
        <v>0.16041666666569654</v>
      </c>
      <c r="BF854" s="95">
        <v>0</v>
      </c>
      <c r="BG854" s="95">
        <v>4.3055555555555555E-2</v>
      </c>
      <c r="BH854" s="95">
        <f t="shared" si="507"/>
        <v>6.9444444452528842E-3</v>
      </c>
      <c r="BI854" s="95">
        <f t="shared" si="507"/>
        <v>0</v>
      </c>
      <c r="BJ854" s="95">
        <f t="shared" si="507"/>
        <v>0.15347222222044365</v>
      </c>
      <c r="BK854" s="95">
        <f t="shared" si="508"/>
        <v>0.15347222222044365</v>
      </c>
      <c r="BL854" s="95">
        <f t="shared" si="509"/>
        <v>0.1104166666648881</v>
      </c>
      <c r="BM854" s="95" t="str">
        <f t="shared" si="510"/>
        <v>00:00</v>
      </c>
      <c r="BN854" s="110"/>
    </row>
    <row r="855" spans="1:66" s="8" customFormat="1" ht="12.75" customHeight="1" x14ac:dyDescent="0.25">
      <c r="A855" s="150">
        <v>783</v>
      </c>
      <c r="B855" s="150">
        <v>9</v>
      </c>
      <c r="C855" s="90">
        <v>14</v>
      </c>
      <c r="D855" s="111" t="s">
        <v>148</v>
      </c>
      <c r="E855" s="210" t="s">
        <v>975</v>
      </c>
      <c r="F855" s="150" t="s">
        <v>16</v>
      </c>
      <c r="G855" s="150" t="s">
        <v>17</v>
      </c>
      <c r="H855" s="150" t="s">
        <v>150</v>
      </c>
      <c r="I855" s="150" t="s">
        <v>351</v>
      </c>
      <c r="J855" s="151">
        <v>45628</v>
      </c>
      <c r="K855" s="135" t="s">
        <v>122</v>
      </c>
      <c r="L855" s="135">
        <v>461000581</v>
      </c>
      <c r="M855" s="151">
        <v>45629</v>
      </c>
      <c r="N855" s="152">
        <v>45629.21875</v>
      </c>
      <c r="O855" s="152">
        <v>45629.21875</v>
      </c>
      <c r="P855" s="152">
        <v>45629.222222222219</v>
      </c>
      <c r="Q855" s="152">
        <v>45629.395833333336</v>
      </c>
      <c r="R855" s="152" t="s">
        <v>118</v>
      </c>
      <c r="S855" s="152" t="s">
        <v>118</v>
      </c>
      <c r="T855" s="152">
        <v>45629.4375</v>
      </c>
      <c r="U855" s="152">
        <v>45629.513888888891</v>
      </c>
      <c r="V855" s="219">
        <f t="shared" si="502"/>
        <v>0.17708333333575865</v>
      </c>
      <c r="W855" s="203">
        <v>0.20833333333333334</v>
      </c>
      <c r="X855" s="219" t="str">
        <f t="shared" si="503"/>
        <v>00:00</v>
      </c>
      <c r="Y855" s="96">
        <v>0</v>
      </c>
      <c r="Z855" s="96">
        <v>58</v>
      </c>
      <c r="AA855" s="96">
        <f t="shared" si="475"/>
        <v>58</v>
      </c>
      <c r="AB855" s="97">
        <f t="shared" si="476"/>
        <v>0</v>
      </c>
      <c r="AC855" s="97">
        <f t="shared" si="477"/>
        <v>4040.4200000000005</v>
      </c>
      <c r="AD855" s="98">
        <v>4040.42</v>
      </c>
      <c r="AE855" s="98">
        <v>4046.8</v>
      </c>
      <c r="AF855" s="98">
        <v>4065.8</v>
      </c>
      <c r="AG855" s="98">
        <f t="shared" si="478"/>
        <v>25.380000000000109</v>
      </c>
      <c r="AH855" s="99">
        <v>672.5</v>
      </c>
      <c r="AI855" s="100">
        <f t="shared" si="479"/>
        <v>2734250.5</v>
      </c>
      <c r="AJ855" s="100">
        <f>(0*AH855)*2</f>
        <v>0</v>
      </c>
      <c r="AK855" s="100">
        <v>0</v>
      </c>
      <c r="AL855" s="100">
        <v>24140</v>
      </c>
      <c r="AM855" s="100">
        <v>0</v>
      </c>
      <c r="AN855" s="100">
        <v>0</v>
      </c>
      <c r="AO855" s="100">
        <v>0</v>
      </c>
      <c r="AP855" s="100">
        <f t="shared" si="500"/>
        <v>137920</v>
      </c>
      <c r="AQ855" s="101">
        <f t="shared" si="501"/>
        <v>2896311</v>
      </c>
      <c r="AR855" s="101">
        <v>0</v>
      </c>
      <c r="AS855" s="101">
        <v>0</v>
      </c>
      <c r="AT855" s="102" t="s">
        <v>33</v>
      </c>
      <c r="AU855" s="109">
        <v>9</v>
      </c>
      <c r="AV855" s="100">
        <f>23.94-16.94</f>
        <v>7</v>
      </c>
      <c r="AW855" s="105">
        <v>0</v>
      </c>
      <c r="AX855" s="216">
        <f t="shared" si="504"/>
        <v>0.62423139357568269</v>
      </c>
      <c r="AY855" s="217">
        <f t="shared" si="505"/>
        <v>17069</v>
      </c>
      <c r="AZ855" s="107"/>
      <c r="BA855" s="94">
        <v>45629.21875</v>
      </c>
      <c r="BB855" s="94">
        <v>45629.222222222219</v>
      </c>
      <c r="BC855" s="94">
        <v>45629.222222222219</v>
      </c>
      <c r="BD855" s="94">
        <v>45629.341666666667</v>
      </c>
      <c r="BE855" s="95">
        <f t="shared" si="506"/>
        <v>0.12291666666715173</v>
      </c>
      <c r="BF855" s="95">
        <v>0</v>
      </c>
      <c r="BG855" s="95">
        <v>0</v>
      </c>
      <c r="BH855" s="95">
        <f t="shared" si="507"/>
        <v>3.4722222189884633E-3</v>
      </c>
      <c r="BI855" s="95">
        <f t="shared" si="507"/>
        <v>0</v>
      </c>
      <c r="BJ855" s="95">
        <f t="shared" si="507"/>
        <v>0.11944444444816327</v>
      </c>
      <c r="BK855" s="95">
        <f t="shared" si="508"/>
        <v>0.11944444444816327</v>
      </c>
      <c r="BL855" s="95">
        <f t="shared" si="509"/>
        <v>0.11944444444816327</v>
      </c>
      <c r="BM855" s="95" t="str">
        <f t="shared" si="510"/>
        <v>00:00</v>
      </c>
      <c r="BN855" s="110"/>
    </row>
    <row r="856" spans="1:66" s="8" customFormat="1" ht="12.75" customHeight="1" x14ac:dyDescent="0.25">
      <c r="A856" s="150">
        <v>784</v>
      </c>
      <c r="B856" s="150">
        <v>10</v>
      </c>
      <c r="C856" s="90">
        <v>5</v>
      </c>
      <c r="D856" s="111" t="s">
        <v>113</v>
      </c>
      <c r="E856" s="210" t="s">
        <v>943</v>
      </c>
      <c r="F856" s="150" t="s">
        <v>32</v>
      </c>
      <c r="G856" s="150" t="s">
        <v>15</v>
      </c>
      <c r="H856" s="150" t="s">
        <v>182</v>
      </c>
      <c r="I856" s="150" t="s">
        <v>981</v>
      </c>
      <c r="J856" s="151">
        <v>45629</v>
      </c>
      <c r="K856" s="135" t="s">
        <v>117</v>
      </c>
      <c r="L856" s="135">
        <v>261006111</v>
      </c>
      <c r="M856" s="151">
        <v>45629</v>
      </c>
      <c r="N856" s="152">
        <v>45629.413194444445</v>
      </c>
      <c r="O856" s="152">
        <v>45629.413194444445</v>
      </c>
      <c r="P856" s="152">
        <v>45629.416666666664</v>
      </c>
      <c r="Q856" s="152">
        <v>45629.604166666664</v>
      </c>
      <c r="R856" s="152" t="s">
        <v>118</v>
      </c>
      <c r="S856" s="152" t="s">
        <v>118</v>
      </c>
      <c r="T856" s="152">
        <v>45629.645833333336</v>
      </c>
      <c r="U856" s="152">
        <v>45629.71875</v>
      </c>
      <c r="V856" s="219">
        <f t="shared" si="502"/>
        <v>0.19097222221898846</v>
      </c>
      <c r="W856" s="203">
        <v>0.20833333333333334</v>
      </c>
      <c r="X856" s="219" t="str">
        <f t="shared" si="503"/>
        <v>00:00</v>
      </c>
      <c r="Y856" s="96">
        <v>0</v>
      </c>
      <c r="Z856" s="96">
        <v>58</v>
      </c>
      <c r="AA856" s="96">
        <f t="shared" si="475"/>
        <v>58</v>
      </c>
      <c r="AB856" s="97">
        <f t="shared" si="476"/>
        <v>0</v>
      </c>
      <c r="AC856" s="97">
        <f t="shared" si="477"/>
        <v>3934.4799999999996</v>
      </c>
      <c r="AD856" s="98">
        <v>3934.48</v>
      </c>
      <c r="AE856" s="98">
        <v>4050.8</v>
      </c>
      <c r="AF856" s="98">
        <v>4052.6</v>
      </c>
      <c r="AG856" s="98">
        <f t="shared" si="478"/>
        <v>118.11999999999989</v>
      </c>
      <c r="AH856" s="99">
        <v>1484</v>
      </c>
      <c r="AI856" s="100">
        <f t="shared" si="479"/>
        <v>6014058.3999999994</v>
      </c>
      <c r="AJ856" s="100">
        <f>(0.4*AH856)*2</f>
        <v>1187.2</v>
      </c>
      <c r="AK856" s="100">
        <v>0</v>
      </c>
      <c r="AL856" s="100">
        <v>0</v>
      </c>
      <c r="AM856" s="100">
        <v>0</v>
      </c>
      <c r="AN856" s="100">
        <v>0</v>
      </c>
      <c r="AO856" s="100">
        <v>0</v>
      </c>
      <c r="AP856" s="100">
        <f t="shared" si="500"/>
        <v>300763</v>
      </c>
      <c r="AQ856" s="101">
        <f t="shared" si="501"/>
        <v>6316009</v>
      </c>
      <c r="AR856" s="101">
        <v>0</v>
      </c>
      <c r="AS856" s="101">
        <v>0</v>
      </c>
      <c r="AT856" s="102" t="s">
        <v>33</v>
      </c>
      <c r="AU856" s="109" t="s">
        <v>118</v>
      </c>
      <c r="AV856" s="100">
        <v>0</v>
      </c>
      <c r="AW856" s="105">
        <v>0</v>
      </c>
      <c r="AX856" s="216">
        <f t="shared" si="504"/>
        <v>2.9146720623797044</v>
      </c>
      <c r="AY856" s="217">
        <f t="shared" si="505"/>
        <v>175291</v>
      </c>
      <c r="AZ856" s="107"/>
      <c r="BA856" s="94">
        <v>45629.413194444445</v>
      </c>
      <c r="BB856" s="94">
        <v>45629.416666666664</v>
      </c>
      <c r="BC856" s="94">
        <v>45629.416666666664</v>
      </c>
      <c r="BD856" s="94">
        <v>45629.551388888889</v>
      </c>
      <c r="BE856" s="95">
        <f t="shared" si="506"/>
        <v>0.13819444444379769</v>
      </c>
      <c r="BF856" s="95">
        <v>0</v>
      </c>
      <c r="BG856" s="95">
        <v>3.0555555555555555E-2</v>
      </c>
      <c r="BH856" s="95">
        <f t="shared" si="507"/>
        <v>3.4722222189884633E-3</v>
      </c>
      <c r="BI856" s="95">
        <f t="shared" si="507"/>
        <v>0</v>
      </c>
      <c r="BJ856" s="95">
        <f t="shared" si="507"/>
        <v>0.13472222222480923</v>
      </c>
      <c r="BK856" s="95">
        <f t="shared" si="508"/>
        <v>0.13472222222480923</v>
      </c>
      <c r="BL856" s="95">
        <f t="shared" si="509"/>
        <v>0.10416666666925367</v>
      </c>
      <c r="BM856" s="95" t="str">
        <f t="shared" si="510"/>
        <v>00:00</v>
      </c>
      <c r="BN856" s="110"/>
    </row>
    <row r="857" spans="1:66" s="8" customFormat="1" ht="12.75" customHeight="1" x14ac:dyDescent="0.25">
      <c r="A857" s="115">
        <v>785</v>
      </c>
      <c r="B857" s="115">
        <v>11</v>
      </c>
      <c r="C857" s="90">
        <v>15</v>
      </c>
      <c r="D857" s="115" t="s">
        <v>148</v>
      </c>
      <c r="E857" s="210" t="s">
        <v>975</v>
      </c>
      <c r="F857" s="115" t="s">
        <v>16</v>
      </c>
      <c r="G857" s="115" t="s">
        <v>17</v>
      </c>
      <c r="H857" s="115" t="s">
        <v>150</v>
      </c>
      <c r="I857" s="115" t="s">
        <v>353</v>
      </c>
      <c r="J857" s="117">
        <v>45628</v>
      </c>
      <c r="K857" s="116" t="s">
        <v>122</v>
      </c>
      <c r="L857" s="116">
        <v>461000582</v>
      </c>
      <c r="M857" s="117">
        <v>45630</v>
      </c>
      <c r="N857" s="118">
        <v>45630.21875</v>
      </c>
      <c r="O857" s="118">
        <v>45630.21875</v>
      </c>
      <c r="P857" s="118">
        <v>45630.222222222219</v>
      </c>
      <c r="Q857" s="118">
        <v>45630.416666666664</v>
      </c>
      <c r="R857" s="118" t="s">
        <v>118</v>
      </c>
      <c r="S857" s="118" t="s">
        <v>118</v>
      </c>
      <c r="T857" s="118">
        <v>45630.552777777775</v>
      </c>
      <c r="U857" s="118">
        <v>45630.590277777781</v>
      </c>
      <c r="V857" s="119">
        <f t="shared" si="502"/>
        <v>0.19791666666424135</v>
      </c>
      <c r="W857" s="185">
        <v>0.20833333333333334</v>
      </c>
      <c r="X857" s="119" t="str">
        <f t="shared" si="503"/>
        <v>00:00</v>
      </c>
      <c r="Y857" s="96">
        <v>0</v>
      </c>
      <c r="Z857" s="96">
        <v>8</v>
      </c>
      <c r="AA857" s="96">
        <f t="shared" ref="AA857:AA920" si="511">+Y857+Z857</f>
        <v>8</v>
      </c>
      <c r="AB857" s="97">
        <f t="shared" ref="AB857:AB920" si="512">+AD857/AA857*Y857</f>
        <v>0</v>
      </c>
      <c r="AC857" s="97">
        <f t="shared" ref="AC857:AC920" si="513">+AD857/AA857*Z857</f>
        <v>509.96000000000004</v>
      </c>
      <c r="AD857" s="98">
        <f>4078-3568.04</f>
        <v>509.96000000000004</v>
      </c>
      <c r="AE857" s="98">
        <f>4083.6-3527.6</f>
        <v>556</v>
      </c>
      <c r="AF857" s="98">
        <f>4104-3568.04</f>
        <v>535.96</v>
      </c>
      <c r="AG857" s="98">
        <f t="shared" ref="AG857:AG920" si="514">+AF857-AD857</f>
        <v>26</v>
      </c>
      <c r="AH857" s="99">
        <v>672.5</v>
      </c>
      <c r="AI857" s="100">
        <f t="shared" ref="AI857:AI920" si="515">+AF857*AH857</f>
        <v>360433.10000000003</v>
      </c>
      <c r="AJ857" s="100">
        <f>(0*AH857)*2</f>
        <v>0</v>
      </c>
      <c r="AK857" s="100">
        <v>0</v>
      </c>
      <c r="AL857" s="100">
        <v>24290</v>
      </c>
      <c r="AM857" s="100">
        <v>8070</v>
      </c>
      <c r="AN857" s="100">
        <v>0</v>
      </c>
      <c r="AO857" s="100">
        <v>0</v>
      </c>
      <c r="AP857" s="100">
        <f>ROUNDUP(SUM(AI857:AO857)*5%,0)-1</f>
        <v>19639</v>
      </c>
      <c r="AQ857" s="101">
        <f>ROUNDUP(SUM(AI857:AP857),0)-1</f>
        <v>412432</v>
      </c>
      <c r="AR857" s="101">
        <v>0</v>
      </c>
      <c r="AS857" s="101">
        <v>0</v>
      </c>
      <c r="AT857" s="137" t="s">
        <v>33</v>
      </c>
      <c r="AU857" s="120">
        <v>9</v>
      </c>
      <c r="AV857" s="121">
        <f>22.38-17.38</f>
        <v>5</v>
      </c>
      <c r="AW857" s="105">
        <v>0</v>
      </c>
      <c r="AX857" s="140">
        <f>IFERROR(((AG857+AG858)/(AF857+AF858))*100, "")</f>
        <v>0.6335282651072125</v>
      </c>
      <c r="AY857" s="141">
        <f>ROUNDUP((AG857+AG858)*AH857,0)</f>
        <v>17485</v>
      </c>
      <c r="AZ857" s="107"/>
      <c r="BA857" s="118">
        <v>45630.21875</v>
      </c>
      <c r="BB857" s="118">
        <v>45630.222222222219</v>
      </c>
      <c r="BC857" s="118">
        <v>45630.225694444445</v>
      </c>
      <c r="BD857" s="118">
        <v>45630.354166666664</v>
      </c>
      <c r="BE857" s="119">
        <f t="shared" si="506"/>
        <v>0.13541666666424135</v>
      </c>
      <c r="BF857" s="119">
        <v>3.472222222222222E-3</v>
      </c>
      <c r="BG857" s="119">
        <v>0</v>
      </c>
      <c r="BH857" s="119">
        <f t="shared" si="507"/>
        <v>3.4722222189884633E-3</v>
      </c>
      <c r="BI857" s="119">
        <f t="shared" si="507"/>
        <v>3.4722222262644209E-3</v>
      </c>
      <c r="BJ857" s="119">
        <f t="shared" si="507"/>
        <v>0.12847222221898846</v>
      </c>
      <c r="BK857" s="119">
        <f t="shared" si="508"/>
        <v>0.13194444444525288</v>
      </c>
      <c r="BL857" s="119">
        <f t="shared" si="509"/>
        <v>0.12847222222303067</v>
      </c>
      <c r="BM857" s="119" t="str">
        <f t="shared" si="510"/>
        <v>00:00</v>
      </c>
      <c r="BN857" s="110" t="s">
        <v>982</v>
      </c>
    </row>
    <row r="858" spans="1:66" s="8" customFormat="1" ht="12.75" customHeight="1" x14ac:dyDescent="0.25">
      <c r="A858" s="122"/>
      <c r="B858" s="122"/>
      <c r="C858" s="90">
        <v>1</v>
      </c>
      <c r="D858" s="122"/>
      <c r="E858" s="210" t="s">
        <v>983</v>
      </c>
      <c r="F858" s="122"/>
      <c r="G858" s="122"/>
      <c r="H858" s="122"/>
      <c r="I858" s="122"/>
      <c r="J858" s="124"/>
      <c r="K858" s="123"/>
      <c r="L858" s="123"/>
      <c r="M858" s="124"/>
      <c r="N858" s="125"/>
      <c r="O858" s="125"/>
      <c r="P858" s="125"/>
      <c r="Q858" s="125"/>
      <c r="R858" s="125"/>
      <c r="S858" s="125"/>
      <c r="T858" s="125"/>
      <c r="U858" s="125"/>
      <c r="V858" s="126"/>
      <c r="W858" s="189"/>
      <c r="X858" s="126"/>
      <c r="Y858" s="96">
        <v>0</v>
      </c>
      <c r="Z858" s="96">
        <v>51</v>
      </c>
      <c r="AA858" s="96">
        <f t="shared" si="511"/>
        <v>51</v>
      </c>
      <c r="AB858" s="97">
        <f t="shared" si="512"/>
        <v>0</v>
      </c>
      <c r="AC858" s="97">
        <f t="shared" si="513"/>
        <v>3568.0399999999995</v>
      </c>
      <c r="AD858" s="98">
        <v>3568.04</v>
      </c>
      <c r="AE858" s="98">
        <v>3527.6</v>
      </c>
      <c r="AF858" s="98">
        <v>3568.04</v>
      </c>
      <c r="AG858" s="98">
        <f t="shared" si="514"/>
        <v>0</v>
      </c>
      <c r="AH858" s="99">
        <v>672.5</v>
      </c>
      <c r="AI858" s="100">
        <f t="shared" si="515"/>
        <v>2399506.9</v>
      </c>
      <c r="AJ858" s="100">
        <f>(0*AH858)*2</f>
        <v>0</v>
      </c>
      <c r="AK858" s="100">
        <v>0</v>
      </c>
      <c r="AL858" s="100">
        <v>0</v>
      </c>
      <c r="AM858" s="100">
        <v>0</v>
      </c>
      <c r="AN858" s="100">
        <v>0</v>
      </c>
      <c r="AO858" s="100">
        <v>0</v>
      </c>
      <c r="AP858" s="100">
        <f t="shared" ref="AP858:AP889" si="516">ROUNDUP(SUM(AI858:AO858)*5%,0)</f>
        <v>119976</v>
      </c>
      <c r="AQ858" s="101">
        <f t="shared" ref="AQ858:AQ873" si="517">ROUNDUP(SUM(AI858:AP858),0)</f>
        <v>2519483</v>
      </c>
      <c r="AR858" s="101">
        <v>0</v>
      </c>
      <c r="AS858" s="101">
        <v>0</v>
      </c>
      <c r="AT858" s="138"/>
      <c r="AU858" s="127"/>
      <c r="AV858" s="128"/>
      <c r="AW858" s="105">
        <v>0</v>
      </c>
      <c r="AX858" s="144"/>
      <c r="AY858" s="145"/>
      <c r="AZ858" s="107"/>
      <c r="BA858" s="125"/>
      <c r="BB858" s="125"/>
      <c r="BC858" s="125"/>
      <c r="BD858" s="125"/>
      <c r="BE858" s="126"/>
      <c r="BF858" s="126"/>
      <c r="BG858" s="126"/>
      <c r="BH858" s="126"/>
      <c r="BI858" s="126"/>
      <c r="BJ858" s="126"/>
      <c r="BK858" s="126"/>
      <c r="BL858" s="126"/>
      <c r="BM858" s="126"/>
      <c r="BN858" s="110" t="s">
        <v>984</v>
      </c>
    </row>
    <row r="859" spans="1:66" s="8" customFormat="1" ht="12.75" customHeight="1" x14ac:dyDescent="0.25">
      <c r="A859" s="150">
        <v>786</v>
      </c>
      <c r="B859" s="150">
        <v>12</v>
      </c>
      <c r="C859" s="90">
        <v>1</v>
      </c>
      <c r="D859" s="111" t="s">
        <v>113</v>
      </c>
      <c r="E859" s="210" t="s">
        <v>985</v>
      </c>
      <c r="F859" s="150" t="s">
        <v>27</v>
      </c>
      <c r="G859" s="150" t="s">
        <v>12</v>
      </c>
      <c r="H859" s="150" t="s">
        <v>115</v>
      </c>
      <c r="I859" s="150" t="s">
        <v>986</v>
      </c>
      <c r="J859" s="151">
        <v>45630</v>
      </c>
      <c r="K859" s="135" t="s">
        <v>117</v>
      </c>
      <c r="L859" s="135">
        <v>282001068</v>
      </c>
      <c r="M859" s="151">
        <v>45631</v>
      </c>
      <c r="N859" s="152">
        <v>45630.541666666664</v>
      </c>
      <c r="O859" s="152">
        <v>45630.541666666664</v>
      </c>
      <c r="P859" s="152">
        <v>45630.548611111109</v>
      </c>
      <c r="Q859" s="152">
        <v>45630.739583333336</v>
      </c>
      <c r="R859" s="152" t="s">
        <v>118</v>
      </c>
      <c r="S859" s="152" t="s">
        <v>118</v>
      </c>
      <c r="T859" s="152">
        <v>45630.760416666664</v>
      </c>
      <c r="U859" s="152">
        <v>45630.838194444441</v>
      </c>
      <c r="V859" s="219">
        <f t="shared" ref="V859:V874" si="518">+Q859-O859</f>
        <v>0.19791666667151731</v>
      </c>
      <c r="W859" s="203">
        <v>0.20833333333333334</v>
      </c>
      <c r="X859" s="219" t="str">
        <f t="shared" ref="X859:X874" si="519">IF(VALUE(V859)&lt;=VALUE("05:00"),"00:00",VALUE(V859)-VALUE("05:00"))</f>
        <v>00:00</v>
      </c>
      <c r="Y859" s="96">
        <v>0</v>
      </c>
      <c r="Z859" s="96">
        <v>58</v>
      </c>
      <c r="AA859" s="96">
        <f t="shared" si="511"/>
        <v>58</v>
      </c>
      <c r="AB859" s="97">
        <f t="shared" si="512"/>
        <v>0</v>
      </c>
      <c r="AC859" s="97">
        <f t="shared" si="513"/>
        <v>3937.1100000000006</v>
      </c>
      <c r="AD859" s="98">
        <v>3937.11</v>
      </c>
      <c r="AE859" s="98">
        <v>4037.7</v>
      </c>
      <c r="AF859" s="98">
        <v>4039</v>
      </c>
      <c r="AG859" s="98">
        <f t="shared" si="514"/>
        <v>101.88999999999987</v>
      </c>
      <c r="AH859" s="99">
        <v>1586.7</v>
      </c>
      <c r="AI859" s="100">
        <f t="shared" si="515"/>
        <v>6408681.2999999998</v>
      </c>
      <c r="AJ859" s="100">
        <f>(0*AH859)*2</f>
        <v>0</v>
      </c>
      <c r="AK859" s="100">
        <v>0</v>
      </c>
      <c r="AL859" s="100">
        <v>0</v>
      </c>
      <c r="AM859" s="100">
        <v>0</v>
      </c>
      <c r="AN859" s="100">
        <v>0</v>
      </c>
      <c r="AO859" s="100">
        <f>IFERROR(AF859*20+(((AJ859/AH859)/2)*20),0)</f>
        <v>80780</v>
      </c>
      <c r="AP859" s="100">
        <f t="shared" si="516"/>
        <v>324474</v>
      </c>
      <c r="AQ859" s="101">
        <f t="shared" si="517"/>
        <v>6813936</v>
      </c>
      <c r="AR859" s="101">
        <v>0</v>
      </c>
      <c r="AS859" s="101">
        <v>0</v>
      </c>
      <c r="AT859" s="102" t="s">
        <v>33</v>
      </c>
      <c r="AU859" s="109" t="s">
        <v>118</v>
      </c>
      <c r="AV859" s="100">
        <v>0</v>
      </c>
      <c r="AW859" s="105">
        <v>0</v>
      </c>
      <c r="AX859" s="216">
        <f t="shared" ref="AX859:AX873" si="520">IFERROR((AG859/AF859)*100, "")</f>
        <v>2.5226541223074985</v>
      </c>
      <c r="AY859" s="217">
        <f t="shared" ref="AY859:AY873" si="521">ROUNDUP(AG859*AH859,0)</f>
        <v>161669</v>
      </c>
      <c r="AZ859" s="107"/>
      <c r="BA859" s="94">
        <v>45630.541666666664</v>
      </c>
      <c r="BB859" s="94">
        <v>45630.548611111109</v>
      </c>
      <c r="BC859" s="94">
        <v>45630.548611111109</v>
      </c>
      <c r="BD859" s="94">
        <v>45630.715277777781</v>
      </c>
      <c r="BE859" s="95">
        <f t="shared" ref="BE859:BE874" si="522">+BD859-BA859</f>
        <v>0.17361111111677019</v>
      </c>
      <c r="BF859" s="95">
        <v>0</v>
      </c>
      <c r="BG859" s="95">
        <v>4.791666666666667E-2</v>
      </c>
      <c r="BH859" s="95">
        <f t="shared" ref="BH859:BJ874" si="523">+BB859-BA859</f>
        <v>6.9444444452528842E-3</v>
      </c>
      <c r="BI859" s="95">
        <f t="shared" si="523"/>
        <v>0</v>
      </c>
      <c r="BJ859" s="95">
        <f t="shared" si="523"/>
        <v>0.16666666667151731</v>
      </c>
      <c r="BK859" s="95">
        <f t="shared" ref="BK859:BK874" si="524">+BI859+BJ859</f>
        <v>0.16666666667151731</v>
      </c>
      <c r="BL859" s="95">
        <f t="shared" ref="BL859:BL874" si="525">+BE859-BH859-BF859-BG859</f>
        <v>0.11875000000485064</v>
      </c>
      <c r="BM859" s="95" t="str">
        <f t="shared" ref="BM859:BM874" si="526">IF(VALUE(BE859)&lt;=VALUE("05:00"),"00:00",VALUE(BE859)-VALUE("05:00"))</f>
        <v>00:00</v>
      </c>
      <c r="BN859" s="110"/>
    </row>
    <row r="860" spans="1:66" s="8" customFormat="1" ht="12.75" customHeight="1" x14ac:dyDescent="0.25">
      <c r="A860" s="150">
        <v>787</v>
      </c>
      <c r="B860" s="150">
        <v>13</v>
      </c>
      <c r="C860" s="90">
        <v>2</v>
      </c>
      <c r="D860" s="111" t="s">
        <v>148</v>
      </c>
      <c r="E860" s="210" t="s">
        <v>983</v>
      </c>
      <c r="F860" s="150" t="s">
        <v>16</v>
      </c>
      <c r="G860" s="150" t="s">
        <v>17</v>
      </c>
      <c r="H860" s="150" t="s">
        <v>150</v>
      </c>
      <c r="I860" s="150" t="s">
        <v>355</v>
      </c>
      <c r="J860" s="151">
        <v>45630</v>
      </c>
      <c r="K860" s="135" t="s">
        <v>122</v>
      </c>
      <c r="L860" s="135">
        <v>461000583</v>
      </c>
      <c r="M860" s="151">
        <v>45631</v>
      </c>
      <c r="N860" s="152">
        <v>45630.75</v>
      </c>
      <c r="O860" s="152">
        <v>45630.75</v>
      </c>
      <c r="P860" s="152">
        <v>45630.753472222219</v>
      </c>
      <c r="Q860" s="152">
        <v>45630.916666666664</v>
      </c>
      <c r="R860" s="152" t="s">
        <v>118</v>
      </c>
      <c r="S860" s="152" t="s">
        <v>118</v>
      </c>
      <c r="T860" s="152">
        <v>45630.972222222219</v>
      </c>
      <c r="U860" s="152">
        <v>45630.071527777778</v>
      </c>
      <c r="V860" s="219">
        <f t="shared" si="518"/>
        <v>0.16666666666424135</v>
      </c>
      <c r="W860" s="203">
        <v>0.20833333333333334</v>
      </c>
      <c r="X860" s="219" t="str">
        <f t="shared" si="519"/>
        <v>00:00</v>
      </c>
      <c r="Y860" s="96">
        <v>0</v>
      </c>
      <c r="Z860" s="96">
        <v>57</v>
      </c>
      <c r="AA860" s="96">
        <f t="shared" si="511"/>
        <v>57</v>
      </c>
      <c r="AB860" s="97">
        <f t="shared" si="512"/>
        <v>0</v>
      </c>
      <c r="AC860" s="97">
        <f t="shared" si="513"/>
        <v>3945.96</v>
      </c>
      <c r="AD860" s="98">
        <v>3945.96</v>
      </c>
      <c r="AE860" s="98">
        <v>3958</v>
      </c>
      <c r="AF860" s="98">
        <v>3974.6</v>
      </c>
      <c r="AG860" s="98">
        <f t="shared" si="514"/>
        <v>28.639999999999873</v>
      </c>
      <c r="AH860" s="99">
        <v>672.5</v>
      </c>
      <c r="AI860" s="100">
        <f t="shared" si="515"/>
        <v>2672918.5</v>
      </c>
      <c r="AJ860" s="100">
        <f>(0.8*AH860)*2</f>
        <v>1076</v>
      </c>
      <c r="AK860" s="100">
        <v>0</v>
      </c>
      <c r="AL860" s="100">
        <v>0</v>
      </c>
      <c r="AM860" s="100">
        <v>0</v>
      </c>
      <c r="AN860" s="100">
        <v>0</v>
      </c>
      <c r="AO860" s="100">
        <v>0</v>
      </c>
      <c r="AP860" s="100">
        <f t="shared" si="516"/>
        <v>133700</v>
      </c>
      <c r="AQ860" s="101">
        <f t="shared" si="517"/>
        <v>2807695</v>
      </c>
      <c r="AR860" s="101">
        <v>0</v>
      </c>
      <c r="AS860" s="101">
        <v>0</v>
      </c>
      <c r="AT860" s="102" t="s">
        <v>33</v>
      </c>
      <c r="AU860" s="109" t="s">
        <v>118</v>
      </c>
      <c r="AV860" s="100">
        <v>0</v>
      </c>
      <c r="AW860" s="105">
        <v>0</v>
      </c>
      <c r="AX860" s="216">
        <f t="shared" si="520"/>
        <v>0.72057565541186219</v>
      </c>
      <c r="AY860" s="217">
        <f t="shared" si="521"/>
        <v>19261</v>
      </c>
      <c r="AZ860" s="107"/>
      <c r="BA860" s="94">
        <v>45630.75</v>
      </c>
      <c r="BB860" s="94">
        <v>45630.753472222219</v>
      </c>
      <c r="BC860" s="94">
        <v>45630.753472222219</v>
      </c>
      <c r="BD860" s="94">
        <v>45630.892361111109</v>
      </c>
      <c r="BE860" s="95">
        <f t="shared" si="522"/>
        <v>0.14236111110949423</v>
      </c>
      <c r="BF860" s="95">
        <v>9.0277777777777769E-3</v>
      </c>
      <c r="BG860" s="95">
        <v>1.3888888888888889E-3</v>
      </c>
      <c r="BH860" s="95">
        <f t="shared" si="523"/>
        <v>3.4722222189884633E-3</v>
      </c>
      <c r="BI860" s="95">
        <f t="shared" si="523"/>
        <v>0</v>
      </c>
      <c r="BJ860" s="95">
        <f t="shared" si="523"/>
        <v>0.13888888889050577</v>
      </c>
      <c r="BK860" s="95">
        <f t="shared" si="524"/>
        <v>0.13888888889050577</v>
      </c>
      <c r="BL860" s="95">
        <f t="shared" si="525"/>
        <v>0.12847222222383911</v>
      </c>
      <c r="BM860" s="95" t="str">
        <f t="shared" si="526"/>
        <v>00:00</v>
      </c>
      <c r="BN860" s="110"/>
    </row>
    <row r="861" spans="1:66" s="8" customFormat="1" ht="12.75" customHeight="1" x14ac:dyDescent="0.25">
      <c r="A861" s="150">
        <v>788</v>
      </c>
      <c r="B861" s="150">
        <v>14</v>
      </c>
      <c r="C861" s="90">
        <v>6</v>
      </c>
      <c r="D861" s="111" t="s">
        <v>113</v>
      </c>
      <c r="E861" s="210" t="s">
        <v>943</v>
      </c>
      <c r="F861" s="150" t="s">
        <v>32</v>
      </c>
      <c r="G861" s="150" t="s">
        <v>15</v>
      </c>
      <c r="H861" s="150" t="s">
        <v>135</v>
      </c>
      <c r="I861" s="150" t="s">
        <v>987</v>
      </c>
      <c r="J861" s="151">
        <v>45631</v>
      </c>
      <c r="K861" s="135" t="s">
        <v>122</v>
      </c>
      <c r="L861" s="135">
        <v>261006117</v>
      </c>
      <c r="M861" s="151">
        <v>45631</v>
      </c>
      <c r="N861" s="152">
        <v>45631.583333333336</v>
      </c>
      <c r="O861" s="152">
        <v>45631.583333333336</v>
      </c>
      <c r="P861" s="152">
        <v>45631.59375</v>
      </c>
      <c r="Q861" s="152">
        <v>45631.791666666664</v>
      </c>
      <c r="R861" s="152" t="s">
        <v>118</v>
      </c>
      <c r="S861" s="152" t="s">
        <v>118</v>
      </c>
      <c r="T861" s="152">
        <v>45631.798611111109</v>
      </c>
      <c r="U861" s="152">
        <v>45631.879861111112</v>
      </c>
      <c r="V861" s="219">
        <f t="shared" si="518"/>
        <v>0.20833333332848269</v>
      </c>
      <c r="W861" s="203">
        <v>0.20833333333333334</v>
      </c>
      <c r="X861" s="219" t="str">
        <f t="shared" si="519"/>
        <v>00:00</v>
      </c>
      <c r="Y861" s="96">
        <v>0</v>
      </c>
      <c r="Z861" s="96">
        <v>57</v>
      </c>
      <c r="AA861" s="96">
        <f t="shared" si="511"/>
        <v>57</v>
      </c>
      <c r="AB861" s="97">
        <f t="shared" si="512"/>
        <v>0</v>
      </c>
      <c r="AC861" s="97">
        <f t="shared" si="513"/>
        <v>3790.3800000000006</v>
      </c>
      <c r="AD861" s="98">
        <v>3790.38</v>
      </c>
      <c r="AE861" s="98">
        <v>3959.6</v>
      </c>
      <c r="AF861" s="98">
        <v>3959.6</v>
      </c>
      <c r="AG861" s="98">
        <f t="shared" si="514"/>
        <v>169.2199999999998</v>
      </c>
      <c r="AH861" s="99">
        <v>797.2</v>
      </c>
      <c r="AI861" s="100">
        <f t="shared" si="515"/>
        <v>3156593.12</v>
      </c>
      <c r="AJ861" s="100">
        <f>(0*AH861)*2</f>
        <v>0</v>
      </c>
      <c r="AK861" s="100">
        <v>0</v>
      </c>
      <c r="AL861" s="100">
        <v>0</v>
      </c>
      <c r="AM861" s="100">
        <v>0</v>
      </c>
      <c r="AN861" s="100">
        <v>0</v>
      </c>
      <c r="AO861" s="100">
        <v>0</v>
      </c>
      <c r="AP861" s="100">
        <f t="shared" si="516"/>
        <v>157830</v>
      </c>
      <c r="AQ861" s="101">
        <f t="shared" si="517"/>
        <v>3314424</v>
      </c>
      <c r="AR861" s="101">
        <v>0</v>
      </c>
      <c r="AS861" s="101">
        <v>0</v>
      </c>
      <c r="AT861" s="102" t="s">
        <v>33</v>
      </c>
      <c r="AU861" s="109" t="s">
        <v>118</v>
      </c>
      <c r="AV861" s="100">
        <v>0</v>
      </c>
      <c r="AW861" s="105">
        <v>0</v>
      </c>
      <c r="AX861" s="216">
        <f t="shared" si="520"/>
        <v>4.2736640064652951</v>
      </c>
      <c r="AY861" s="217">
        <f t="shared" si="521"/>
        <v>134903</v>
      </c>
      <c r="AZ861" s="107"/>
      <c r="BA861" s="94">
        <v>45631.583333333336</v>
      </c>
      <c r="BB861" s="94">
        <v>45631.59375</v>
      </c>
      <c r="BC861" s="94">
        <v>45631.597222222219</v>
      </c>
      <c r="BD861" s="94">
        <v>45631.746527777781</v>
      </c>
      <c r="BE861" s="95">
        <f t="shared" si="522"/>
        <v>0.16319444444525288</v>
      </c>
      <c r="BF861" s="95">
        <v>3.472222222222222E-3</v>
      </c>
      <c r="BG861" s="95">
        <v>3.8194444444444448E-2</v>
      </c>
      <c r="BH861" s="95">
        <f t="shared" si="523"/>
        <v>1.0416666664241347E-2</v>
      </c>
      <c r="BI861" s="95">
        <f t="shared" si="523"/>
        <v>3.4722222189884633E-3</v>
      </c>
      <c r="BJ861" s="95">
        <f t="shared" si="523"/>
        <v>0.14930555556202307</v>
      </c>
      <c r="BK861" s="95">
        <f t="shared" si="524"/>
        <v>0.15277777778101154</v>
      </c>
      <c r="BL861" s="95">
        <f t="shared" si="525"/>
        <v>0.11111111111434488</v>
      </c>
      <c r="BM861" s="95" t="str">
        <f t="shared" si="526"/>
        <v>00:00</v>
      </c>
      <c r="BN861" s="110"/>
    </row>
    <row r="862" spans="1:66" s="8" customFormat="1" ht="12.75" customHeight="1" x14ac:dyDescent="0.25">
      <c r="A862" s="150">
        <v>789</v>
      </c>
      <c r="B862" s="150">
        <v>15</v>
      </c>
      <c r="C862" s="90">
        <v>6</v>
      </c>
      <c r="D862" s="111" t="s">
        <v>113</v>
      </c>
      <c r="E862" s="210" t="s">
        <v>948</v>
      </c>
      <c r="F862" s="150" t="s">
        <v>14</v>
      </c>
      <c r="G862" s="150" t="s">
        <v>15</v>
      </c>
      <c r="H862" s="150" t="s">
        <v>779</v>
      </c>
      <c r="I862" s="150" t="s">
        <v>988</v>
      </c>
      <c r="J862" s="151">
        <v>45631</v>
      </c>
      <c r="K862" s="135" t="s">
        <v>117</v>
      </c>
      <c r="L862" s="135">
        <v>281000268</v>
      </c>
      <c r="M862" s="151">
        <v>45632</v>
      </c>
      <c r="N862" s="152">
        <v>45631.739583333336</v>
      </c>
      <c r="O862" s="152">
        <v>45631.739583333336</v>
      </c>
      <c r="P862" s="152">
        <v>45631.743055555555</v>
      </c>
      <c r="Q862" s="152">
        <v>45631.947916666664</v>
      </c>
      <c r="R862" s="152" t="s">
        <v>118</v>
      </c>
      <c r="S862" s="152" t="s">
        <v>118</v>
      </c>
      <c r="T862" s="152">
        <v>45631.958333333336</v>
      </c>
      <c r="U862" s="152">
        <v>45632.111111111109</v>
      </c>
      <c r="V862" s="219">
        <f t="shared" si="518"/>
        <v>0.20833333332848269</v>
      </c>
      <c r="W862" s="203">
        <v>0.20833333333333334</v>
      </c>
      <c r="X862" s="219" t="str">
        <f t="shared" si="519"/>
        <v>00:00</v>
      </c>
      <c r="Y862" s="96">
        <v>0</v>
      </c>
      <c r="Z862" s="96">
        <v>58</v>
      </c>
      <c r="AA862" s="96">
        <f t="shared" si="511"/>
        <v>58</v>
      </c>
      <c r="AB862" s="97">
        <f t="shared" si="512"/>
        <v>0</v>
      </c>
      <c r="AC862" s="97">
        <f t="shared" si="513"/>
        <v>3905.7700000000004</v>
      </c>
      <c r="AD862" s="98">
        <v>3905.77</v>
      </c>
      <c r="AE862" s="98">
        <v>4028.5</v>
      </c>
      <c r="AF862" s="98">
        <v>4030.6</v>
      </c>
      <c r="AG862" s="98">
        <f t="shared" si="514"/>
        <v>124.82999999999993</v>
      </c>
      <c r="AH862" s="99">
        <v>1435.6</v>
      </c>
      <c r="AI862" s="100">
        <f t="shared" si="515"/>
        <v>5786329.3599999994</v>
      </c>
      <c r="AJ862" s="100">
        <f>(0.4*AH862)*2</f>
        <v>1148.48</v>
      </c>
      <c r="AK862" s="100">
        <v>0</v>
      </c>
      <c r="AL862" s="100">
        <v>0</v>
      </c>
      <c r="AM862" s="100">
        <v>0</v>
      </c>
      <c r="AN862" s="100">
        <v>0</v>
      </c>
      <c r="AO862" s="100">
        <v>0</v>
      </c>
      <c r="AP862" s="100">
        <f t="shared" si="516"/>
        <v>289374</v>
      </c>
      <c r="AQ862" s="101">
        <f t="shared" si="517"/>
        <v>6076852</v>
      </c>
      <c r="AR862" s="101">
        <v>0</v>
      </c>
      <c r="AS862" s="101">
        <v>0</v>
      </c>
      <c r="AT862" s="102" t="s">
        <v>33</v>
      </c>
      <c r="AU862" s="109" t="s">
        <v>118</v>
      </c>
      <c r="AV862" s="100">
        <v>0</v>
      </c>
      <c r="AW862" s="105">
        <v>0</v>
      </c>
      <c r="AX862" s="216">
        <f t="shared" si="520"/>
        <v>3.0970575100481299</v>
      </c>
      <c r="AY862" s="217">
        <f t="shared" si="521"/>
        <v>179206</v>
      </c>
      <c r="AZ862" s="107"/>
      <c r="BA862" s="94">
        <v>45631.739583333336</v>
      </c>
      <c r="BB862" s="94">
        <v>45631.743055555555</v>
      </c>
      <c r="BC862" s="94">
        <v>45631.763888888891</v>
      </c>
      <c r="BD862" s="94">
        <v>45631.938194444447</v>
      </c>
      <c r="BE862" s="95">
        <f t="shared" si="522"/>
        <v>0.19861111111094942</v>
      </c>
      <c r="BF862" s="95">
        <v>4.1666666666666666E-3</v>
      </c>
      <c r="BG862" s="95">
        <v>6.6666666666666666E-2</v>
      </c>
      <c r="BH862" s="95">
        <f t="shared" si="523"/>
        <v>3.4722222189884633E-3</v>
      </c>
      <c r="BI862" s="95">
        <f t="shared" si="523"/>
        <v>2.0833333335758653E-2</v>
      </c>
      <c r="BJ862" s="95">
        <f t="shared" si="523"/>
        <v>0.17430555555620231</v>
      </c>
      <c r="BK862" s="95">
        <f t="shared" si="524"/>
        <v>0.19513888889196096</v>
      </c>
      <c r="BL862" s="95">
        <f t="shared" si="525"/>
        <v>0.12430555555862761</v>
      </c>
      <c r="BM862" s="95" t="str">
        <f t="shared" si="526"/>
        <v>00:00</v>
      </c>
      <c r="BN862" s="110"/>
    </row>
    <row r="863" spans="1:66" s="8" customFormat="1" ht="12.75" customHeight="1" x14ac:dyDescent="0.25">
      <c r="A863" s="150">
        <v>790</v>
      </c>
      <c r="B863" s="150">
        <v>16</v>
      </c>
      <c r="C863" s="90">
        <v>3</v>
      </c>
      <c r="D863" s="111" t="s">
        <v>148</v>
      </c>
      <c r="E863" s="210" t="s">
        <v>983</v>
      </c>
      <c r="F863" s="150" t="s">
        <v>16</v>
      </c>
      <c r="G863" s="150" t="s">
        <v>17</v>
      </c>
      <c r="H863" s="150" t="s">
        <v>150</v>
      </c>
      <c r="I863" s="150" t="s">
        <v>364</v>
      </c>
      <c r="J863" s="151">
        <v>45630</v>
      </c>
      <c r="K863" s="135" t="s">
        <v>122</v>
      </c>
      <c r="L863" s="135">
        <v>461000584</v>
      </c>
      <c r="M863" s="151">
        <v>45632</v>
      </c>
      <c r="N863" s="152">
        <v>45631.979166666664</v>
      </c>
      <c r="O863" s="152">
        <v>45631.979166666664</v>
      </c>
      <c r="P863" s="152">
        <v>45631.989583333336</v>
      </c>
      <c r="Q863" s="152">
        <v>45632.135416666664</v>
      </c>
      <c r="R863" s="152" t="s">
        <v>118</v>
      </c>
      <c r="S863" s="152" t="s">
        <v>118</v>
      </c>
      <c r="T863" s="152">
        <v>45632.145833333336</v>
      </c>
      <c r="U863" s="152">
        <v>45632.216666666667</v>
      </c>
      <c r="V863" s="219">
        <f t="shared" si="518"/>
        <v>0.15625</v>
      </c>
      <c r="W863" s="203">
        <v>0.20833333333333334</v>
      </c>
      <c r="X863" s="219" t="str">
        <f t="shared" si="519"/>
        <v>00:00</v>
      </c>
      <c r="Y863" s="96">
        <v>0</v>
      </c>
      <c r="Z863" s="96">
        <v>58</v>
      </c>
      <c r="AA863" s="96">
        <f t="shared" si="511"/>
        <v>58</v>
      </c>
      <c r="AB863" s="97">
        <f t="shared" si="512"/>
        <v>0</v>
      </c>
      <c r="AC863" s="97">
        <f t="shared" si="513"/>
        <v>3992.69</v>
      </c>
      <c r="AD863" s="98">
        <v>3992.69</v>
      </c>
      <c r="AE863" s="98">
        <v>4019</v>
      </c>
      <c r="AF863" s="98">
        <v>4030</v>
      </c>
      <c r="AG863" s="98">
        <f t="shared" si="514"/>
        <v>37.309999999999945</v>
      </c>
      <c r="AH863" s="99">
        <v>672.5</v>
      </c>
      <c r="AI863" s="100">
        <f t="shared" si="515"/>
        <v>2710175</v>
      </c>
      <c r="AJ863" s="100">
        <f>(1.4*AH863)*2</f>
        <v>1882.9999999999998</v>
      </c>
      <c r="AK863" s="100">
        <v>0</v>
      </c>
      <c r="AL863" s="100">
        <v>0</v>
      </c>
      <c r="AM863" s="100">
        <v>0</v>
      </c>
      <c r="AN863" s="100">
        <v>0</v>
      </c>
      <c r="AO863" s="100">
        <v>0</v>
      </c>
      <c r="AP863" s="100">
        <f t="shared" si="516"/>
        <v>135603</v>
      </c>
      <c r="AQ863" s="101">
        <f t="shared" si="517"/>
        <v>2847661</v>
      </c>
      <c r="AR863" s="101">
        <v>0</v>
      </c>
      <c r="AS863" s="101">
        <v>0</v>
      </c>
      <c r="AT863" s="102" t="s">
        <v>33</v>
      </c>
      <c r="AU863" s="109" t="s">
        <v>118</v>
      </c>
      <c r="AV863" s="100">
        <v>0</v>
      </c>
      <c r="AW863" s="105">
        <v>0</v>
      </c>
      <c r="AX863" s="216">
        <f t="shared" si="520"/>
        <v>0.92580645161290176</v>
      </c>
      <c r="AY863" s="217">
        <f t="shared" si="521"/>
        <v>25091</v>
      </c>
      <c r="AZ863" s="107"/>
      <c r="BA863" s="94">
        <v>45631.979166666664</v>
      </c>
      <c r="BB863" s="94">
        <v>45631.989583333336</v>
      </c>
      <c r="BC863" s="94">
        <v>45631.989583333336</v>
      </c>
      <c r="BD863" s="94">
        <v>45632.107638888891</v>
      </c>
      <c r="BE863" s="95">
        <f t="shared" si="522"/>
        <v>0.12847222222626442</v>
      </c>
      <c r="BF863" s="95">
        <v>0</v>
      </c>
      <c r="BG863" s="95">
        <v>0</v>
      </c>
      <c r="BH863" s="95">
        <f t="shared" si="523"/>
        <v>1.0416666671517305E-2</v>
      </c>
      <c r="BI863" s="95">
        <f t="shared" si="523"/>
        <v>0</v>
      </c>
      <c r="BJ863" s="95">
        <f t="shared" si="523"/>
        <v>0.11805555555474712</v>
      </c>
      <c r="BK863" s="95">
        <f t="shared" si="524"/>
        <v>0.11805555555474712</v>
      </c>
      <c r="BL863" s="95">
        <f t="shared" si="525"/>
        <v>0.11805555555474712</v>
      </c>
      <c r="BM863" s="95" t="str">
        <f t="shared" si="526"/>
        <v>00:00</v>
      </c>
      <c r="BN863" s="110"/>
    </row>
    <row r="864" spans="1:66" s="8" customFormat="1" ht="12.75" customHeight="1" x14ac:dyDescent="0.25">
      <c r="A864" s="150">
        <v>791</v>
      </c>
      <c r="B864" s="150">
        <v>17</v>
      </c>
      <c r="C864" s="90">
        <v>4</v>
      </c>
      <c r="D864" s="111" t="s">
        <v>148</v>
      </c>
      <c r="E864" s="210" t="s">
        <v>983</v>
      </c>
      <c r="F864" s="150" t="s">
        <v>16</v>
      </c>
      <c r="G864" s="150" t="s">
        <v>17</v>
      </c>
      <c r="H864" s="150" t="s">
        <v>150</v>
      </c>
      <c r="I864" s="150" t="s">
        <v>369</v>
      </c>
      <c r="J864" s="151">
        <v>45630</v>
      </c>
      <c r="K864" s="135" t="s">
        <v>117</v>
      </c>
      <c r="L864" s="135">
        <v>461000585</v>
      </c>
      <c r="M864" s="151">
        <v>45632</v>
      </c>
      <c r="N864" s="152">
        <v>45632.15625</v>
      </c>
      <c r="O864" s="152">
        <v>45632.15625</v>
      </c>
      <c r="P864" s="152">
        <v>45632.170138888891</v>
      </c>
      <c r="Q864" s="152">
        <v>45632.302083333336</v>
      </c>
      <c r="R864" s="152" t="s">
        <v>118</v>
      </c>
      <c r="S864" s="152" t="s">
        <v>118</v>
      </c>
      <c r="T864" s="152">
        <v>45632.333333333336</v>
      </c>
      <c r="U864" s="152">
        <v>45632.413888888892</v>
      </c>
      <c r="V864" s="219">
        <f t="shared" si="518"/>
        <v>0.14583333333575865</v>
      </c>
      <c r="W864" s="203">
        <v>0.20833333333333334</v>
      </c>
      <c r="X864" s="219" t="str">
        <f t="shared" si="519"/>
        <v>00:00</v>
      </c>
      <c r="Y864" s="96">
        <v>0</v>
      </c>
      <c r="Z864" s="96">
        <v>58</v>
      </c>
      <c r="AA864" s="96">
        <f t="shared" si="511"/>
        <v>58</v>
      </c>
      <c r="AB864" s="97">
        <f t="shared" si="512"/>
        <v>0</v>
      </c>
      <c r="AC864" s="97">
        <f t="shared" si="513"/>
        <v>3998.5599999999995</v>
      </c>
      <c r="AD864" s="98">
        <v>3998.56</v>
      </c>
      <c r="AE864" s="98">
        <v>4033.9</v>
      </c>
      <c r="AF864" s="98">
        <v>4041.4</v>
      </c>
      <c r="AG864" s="98">
        <f t="shared" si="514"/>
        <v>42.840000000000146</v>
      </c>
      <c r="AH864" s="99">
        <v>672.5</v>
      </c>
      <c r="AI864" s="100">
        <f t="shared" si="515"/>
        <v>2717841.5</v>
      </c>
      <c r="AJ864" s="100">
        <f>(1*AH864)*2</f>
        <v>1345</v>
      </c>
      <c r="AK864" s="100">
        <v>0</v>
      </c>
      <c r="AL864" s="100">
        <v>0</v>
      </c>
      <c r="AM864" s="100">
        <v>0</v>
      </c>
      <c r="AN864" s="100">
        <v>0</v>
      </c>
      <c r="AO864" s="100">
        <v>0</v>
      </c>
      <c r="AP864" s="100">
        <f t="shared" si="516"/>
        <v>135960</v>
      </c>
      <c r="AQ864" s="101">
        <f t="shared" si="517"/>
        <v>2855147</v>
      </c>
      <c r="AR864" s="101">
        <v>0</v>
      </c>
      <c r="AS864" s="101">
        <v>0</v>
      </c>
      <c r="AT864" s="102" t="s">
        <v>33</v>
      </c>
      <c r="AU864" s="109" t="s">
        <v>118</v>
      </c>
      <c r="AV864" s="100">
        <v>0</v>
      </c>
      <c r="AW864" s="105">
        <v>0</v>
      </c>
      <c r="AX864" s="216">
        <f t="shared" si="520"/>
        <v>1.0600287029247326</v>
      </c>
      <c r="AY864" s="217">
        <f t="shared" si="521"/>
        <v>28810</v>
      </c>
      <c r="AZ864" s="107"/>
      <c r="BA864" s="94">
        <v>45632.15625</v>
      </c>
      <c r="BB864" s="94">
        <v>45632.170138888891</v>
      </c>
      <c r="BC864" s="94">
        <v>45632.170138888891</v>
      </c>
      <c r="BD864" s="94">
        <v>45632.288194444445</v>
      </c>
      <c r="BE864" s="95">
        <f t="shared" si="522"/>
        <v>0.13194444444525288</v>
      </c>
      <c r="BF864" s="95">
        <v>0</v>
      </c>
      <c r="BG864" s="95">
        <v>0</v>
      </c>
      <c r="BH864" s="95">
        <f t="shared" si="523"/>
        <v>1.3888888890505768E-2</v>
      </c>
      <c r="BI864" s="95">
        <f t="shared" si="523"/>
        <v>0</v>
      </c>
      <c r="BJ864" s="95">
        <f t="shared" si="523"/>
        <v>0.11805555555474712</v>
      </c>
      <c r="BK864" s="95">
        <f t="shared" si="524"/>
        <v>0.11805555555474712</v>
      </c>
      <c r="BL864" s="95">
        <f t="shared" si="525"/>
        <v>0.11805555555474712</v>
      </c>
      <c r="BM864" s="95" t="str">
        <f t="shared" si="526"/>
        <v>00:00</v>
      </c>
      <c r="BN864" s="110"/>
    </row>
    <row r="865" spans="1:66" s="8" customFormat="1" ht="12.75" customHeight="1" x14ac:dyDescent="0.25">
      <c r="A865" s="150">
        <v>792</v>
      </c>
      <c r="B865" s="150">
        <v>18</v>
      </c>
      <c r="C865" s="90">
        <v>5</v>
      </c>
      <c r="D865" s="111" t="s">
        <v>148</v>
      </c>
      <c r="E865" s="210" t="s">
        <v>983</v>
      </c>
      <c r="F865" s="150" t="s">
        <v>16</v>
      </c>
      <c r="G865" s="150" t="s">
        <v>17</v>
      </c>
      <c r="H865" s="150" t="s">
        <v>150</v>
      </c>
      <c r="I865" s="150" t="s">
        <v>371</v>
      </c>
      <c r="J865" s="151">
        <v>45631</v>
      </c>
      <c r="K865" s="135" t="s">
        <v>122</v>
      </c>
      <c r="L865" s="135">
        <v>461000586</v>
      </c>
      <c r="M865" s="151">
        <v>45632</v>
      </c>
      <c r="N865" s="152">
        <v>45632.302083333336</v>
      </c>
      <c r="O865" s="152">
        <v>45632.302083333336</v>
      </c>
      <c r="P865" s="152">
        <v>45632.305555555555</v>
      </c>
      <c r="Q865" s="152">
        <v>45632.5</v>
      </c>
      <c r="R865" s="152" t="s">
        <v>118</v>
      </c>
      <c r="S865" s="152" t="s">
        <v>118</v>
      </c>
      <c r="T865" s="152">
        <v>45632.583333333336</v>
      </c>
      <c r="U865" s="152">
        <v>45632.739583333336</v>
      </c>
      <c r="V865" s="219">
        <f t="shared" si="518"/>
        <v>0.19791666666424135</v>
      </c>
      <c r="W865" s="203">
        <v>0.20833333333333334</v>
      </c>
      <c r="X865" s="219" t="str">
        <f t="shared" si="519"/>
        <v>00:00</v>
      </c>
      <c r="Y865" s="96">
        <v>0</v>
      </c>
      <c r="Z865" s="96">
        <v>58</v>
      </c>
      <c r="AA865" s="96">
        <f t="shared" si="511"/>
        <v>58</v>
      </c>
      <c r="AB865" s="97">
        <f t="shared" si="512"/>
        <v>0</v>
      </c>
      <c r="AC865" s="97">
        <f t="shared" si="513"/>
        <v>4006.89</v>
      </c>
      <c r="AD865" s="98">
        <v>4006.89</v>
      </c>
      <c r="AE865" s="98">
        <v>4040.1</v>
      </c>
      <c r="AF865" s="98">
        <v>4049.4</v>
      </c>
      <c r="AG865" s="98">
        <f t="shared" si="514"/>
        <v>42.510000000000218</v>
      </c>
      <c r="AH865" s="99">
        <v>672.5</v>
      </c>
      <c r="AI865" s="100">
        <f t="shared" si="515"/>
        <v>2723221.5</v>
      </c>
      <c r="AJ865" s="100">
        <f>(0*AH865)*2</f>
        <v>0</v>
      </c>
      <c r="AK865" s="100">
        <v>0</v>
      </c>
      <c r="AL865" s="100">
        <v>24140</v>
      </c>
      <c r="AM865" s="100">
        <v>0</v>
      </c>
      <c r="AN865" s="100">
        <v>0</v>
      </c>
      <c r="AO865" s="100">
        <v>0</v>
      </c>
      <c r="AP865" s="100">
        <f t="shared" si="516"/>
        <v>137369</v>
      </c>
      <c r="AQ865" s="101">
        <f t="shared" si="517"/>
        <v>2884731</v>
      </c>
      <c r="AR865" s="101">
        <v>0</v>
      </c>
      <c r="AS865" s="101">
        <v>0</v>
      </c>
      <c r="AT865" s="102" t="s">
        <v>33</v>
      </c>
      <c r="AU865" s="109">
        <v>3</v>
      </c>
      <c r="AV865" s="100">
        <f>10.34-8.34</f>
        <v>2</v>
      </c>
      <c r="AW865" s="105">
        <v>0</v>
      </c>
      <c r="AX865" s="216">
        <f t="shared" si="520"/>
        <v>1.0497851533560583</v>
      </c>
      <c r="AY865" s="217">
        <f t="shared" si="521"/>
        <v>28588</v>
      </c>
      <c r="AZ865" s="107"/>
      <c r="BA865" s="94">
        <v>45632.302083333336</v>
      </c>
      <c r="BB865" s="94">
        <v>45632.305555555555</v>
      </c>
      <c r="BC865" s="94">
        <v>45632.305555555555</v>
      </c>
      <c r="BD865" s="94">
        <v>45632.436111111114</v>
      </c>
      <c r="BE865" s="95">
        <f t="shared" si="522"/>
        <v>0.13402777777810115</v>
      </c>
      <c r="BF865" s="95">
        <v>0</v>
      </c>
      <c r="BG865" s="95">
        <v>0</v>
      </c>
      <c r="BH865" s="95">
        <f t="shared" si="523"/>
        <v>3.4722222189884633E-3</v>
      </c>
      <c r="BI865" s="95">
        <f t="shared" si="523"/>
        <v>0</v>
      </c>
      <c r="BJ865" s="95">
        <f t="shared" si="523"/>
        <v>0.13055555555911269</v>
      </c>
      <c r="BK865" s="95">
        <f t="shared" si="524"/>
        <v>0.13055555555911269</v>
      </c>
      <c r="BL865" s="95">
        <f t="shared" si="525"/>
        <v>0.13055555555911269</v>
      </c>
      <c r="BM865" s="95" t="str">
        <f t="shared" si="526"/>
        <v>00:00</v>
      </c>
      <c r="BN865" s="110"/>
    </row>
    <row r="866" spans="1:66" s="8" customFormat="1" ht="12.75" customHeight="1" x14ac:dyDescent="0.25">
      <c r="A866" s="150">
        <v>793</v>
      </c>
      <c r="B866" s="150">
        <v>19</v>
      </c>
      <c r="C866" s="90">
        <v>15</v>
      </c>
      <c r="D866" s="111" t="s">
        <v>113</v>
      </c>
      <c r="E866" s="210" t="s">
        <v>940</v>
      </c>
      <c r="F866" s="150" t="s">
        <v>29</v>
      </c>
      <c r="G866" s="150" t="s">
        <v>15</v>
      </c>
      <c r="H866" s="150" t="s">
        <v>124</v>
      </c>
      <c r="I866" s="150" t="s">
        <v>989</v>
      </c>
      <c r="J866" s="151"/>
      <c r="K866" s="135" t="s">
        <v>117</v>
      </c>
      <c r="L866" s="135">
        <v>261006118</v>
      </c>
      <c r="M866" s="151">
        <v>45633</v>
      </c>
      <c r="N866" s="152">
        <v>45632.635416666664</v>
      </c>
      <c r="O866" s="152">
        <v>45632.635416666664</v>
      </c>
      <c r="P866" s="152">
        <v>45632.642361111109</v>
      </c>
      <c r="Q866" s="152">
        <v>45632.822916666664</v>
      </c>
      <c r="R866" s="152" t="s">
        <v>118</v>
      </c>
      <c r="S866" s="152" t="s">
        <v>118</v>
      </c>
      <c r="T866" s="152">
        <v>45632.923611111109</v>
      </c>
      <c r="U866" s="152">
        <v>45633.01666666667</v>
      </c>
      <c r="V866" s="219">
        <f t="shared" si="518"/>
        <v>0.1875</v>
      </c>
      <c r="W866" s="203">
        <v>0.20833333333333334</v>
      </c>
      <c r="X866" s="219" t="str">
        <f t="shared" si="519"/>
        <v>00:00</v>
      </c>
      <c r="Y866" s="96">
        <v>0</v>
      </c>
      <c r="Z866" s="96">
        <v>58</v>
      </c>
      <c r="AA866" s="96">
        <f t="shared" si="511"/>
        <v>58</v>
      </c>
      <c r="AB866" s="97">
        <f t="shared" si="512"/>
        <v>0</v>
      </c>
      <c r="AC866" s="97">
        <f t="shared" si="513"/>
        <v>3887.1099999999997</v>
      </c>
      <c r="AD866" s="98">
        <v>3887.11</v>
      </c>
      <c r="AE866" s="98">
        <v>4031.6</v>
      </c>
      <c r="AF866" s="98">
        <v>4032.6</v>
      </c>
      <c r="AG866" s="98">
        <f t="shared" si="514"/>
        <v>145.48999999999978</v>
      </c>
      <c r="AH866" s="99">
        <v>797.2</v>
      </c>
      <c r="AI866" s="100">
        <f t="shared" si="515"/>
        <v>3214788.72</v>
      </c>
      <c r="AJ866" s="100">
        <f>(0.2*AH866)*2</f>
        <v>318.88000000000005</v>
      </c>
      <c r="AK866" s="100">
        <v>0</v>
      </c>
      <c r="AL866" s="100">
        <v>0</v>
      </c>
      <c r="AM866" s="100">
        <v>0</v>
      </c>
      <c r="AN866" s="100">
        <v>0</v>
      </c>
      <c r="AO866" s="100">
        <v>0</v>
      </c>
      <c r="AP866" s="100">
        <f t="shared" si="516"/>
        <v>160756</v>
      </c>
      <c r="AQ866" s="101">
        <f t="shared" si="517"/>
        <v>3375864</v>
      </c>
      <c r="AR866" s="101">
        <v>0</v>
      </c>
      <c r="AS866" s="101">
        <v>0</v>
      </c>
      <c r="AT866" s="102" t="s">
        <v>33</v>
      </c>
      <c r="AU866" s="109" t="s">
        <v>118</v>
      </c>
      <c r="AV866" s="100">
        <v>0</v>
      </c>
      <c r="AW866" s="105">
        <v>0</v>
      </c>
      <c r="AX866" s="216">
        <f t="shared" si="520"/>
        <v>3.6078460546545599</v>
      </c>
      <c r="AY866" s="217">
        <f t="shared" si="521"/>
        <v>115985</v>
      </c>
      <c r="AZ866" s="107"/>
      <c r="BA866" s="94">
        <v>45632.635416666664</v>
      </c>
      <c r="BB866" s="94">
        <v>45632.642361111109</v>
      </c>
      <c r="BC866" s="94">
        <v>45632.645833333336</v>
      </c>
      <c r="BD866" s="94">
        <v>45632.795138888891</v>
      </c>
      <c r="BE866" s="95">
        <f t="shared" si="522"/>
        <v>0.15972222222626442</v>
      </c>
      <c r="BF866" s="95">
        <v>0</v>
      </c>
      <c r="BG866" s="95">
        <v>5.4166666666666669E-2</v>
      </c>
      <c r="BH866" s="95">
        <f t="shared" si="523"/>
        <v>6.9444444452528842E-3</v>
      </c>
      <c r="BI866" s="95">
        <f t="shared" si="523"/>
        <v>3.4722222262644209E-3</v>
      </c>
      <c r="BJ866" s="95">
        <f t="shared" si="523"/>
        <v>0.14930555555474712</v>
      </c>
      <c r="BK866" s="95">
        <f t="shared" si="524"/>
        <v>0.15277777778101154</v>
      </c>
      <c r="BL866" s="95">
        <f t="shared" si="525"/>
        <v>9.8611111114344868E-2</v>
      </c>
      <c r="BM866" s="95" t="str">
        <f t="shared" si="526"/>
        <v>00:00</v>
      </c>
      <c r="BN866" s="110"/>
    </row>
    <row r="867" spans="1:66" s="8" customFormat="1" ht="12.75" customHeight="1" x14ac:dyDescent="0.25">
      <c r="A867" s="150">
        <v>794</v>
      </c>
      <c r="B867" s="150">
        <v>20</v>
      </c>
      <c r="C867" s="90">
        <v>6</v>
      </c>
      <c r="D867" s="111" t="s">
        <v>148</v>
      </c>
      <c r="E867" s="210" t="s">
        <v>983</v>
      </c>
      <c r="F867" s="150" t="s">
        <v>16</v>
      </c>
      <c r="G867" s="150" t="s">
        <v>17</v>
      </c>
      <c r="H867" s="150" t="s">
        <v>150</v>
      </c>
      <c r="I867" s="150" t="s">
        <v>373</v>
      </c>
      <c r="J867" s="151">
        <v>45631</v>
      </c>
      <c r="K867" s="135" t="s">
        <v>122</v>
      </c>
      <c r="L867" s="135">
        <v>461000587</v>
      </c>
      <c r="M867" s="151">
        <v>45633</v>
      </c>
      <c r="N867" s="152">
        <v>45632.802083333336</v>
      </c>
      <c r="O867" s="152">
        <v>45632.802083333336</v>
      </c>
      <c r="P867" s="152">
        <v>45632.805555555555</v>
      </c>
      <c r="Q867" s="152">
        <v>45632.979166666664</v>
      </c>
      <c r="R867" s="152" t="s">
        <v>118</v>
      </c>
      <c r="S867" s="152" t="s">
        <v>118</v>
      </c>
      <c r="T867" s="152">
        <v>45633.041666666664</v>
      </c>
      <c r="U867" s="152">
        <v>45633.190972222219</v>
      </c>
      <c r="V867" s="219">
        <f t="shared" si="518"/>
        <v>0.17708333332848269</v>
      </c>
      <c r="W867" s="203">
        <v>0.20833333333333334</v>
      </c>
      <c r="X867" s="219" t="str">
        <f t="shared" si="519"/>
        <v>00:00</v>
      </c>
      <c r="Y867" s="96">
        <v>0</v>
      </c>
      <c r="Z867" s="96">
        <v>58</v>
      </c>
      <c r="AA867" s="96">
        <f t="shared" si="511"/>
        <v>58</v>
      </c>
      <c r="AB867" s="97">
        <f t="shared" si="512"/>
        <v>0</v>
      </c>
      <c r="AC867" s="97">
        <f t="shared" si="513"/>
        <v>4009.63</v>
      </c>
      <c r="AD867" s="98">
        <v>4009.63</v>
      </c>
      <c r="AE867" s="98">
        <v>4015.6</v>
      </c>
      <c r="AF867" s="98">
        <v>4039</v>
      </c>
      <c r="AG867" s="98">
        <f t="shared" si="514"/>
        <v>29.369999999999891</v>
      </c>
      <c r="AH867" s="99">
        <v>672.5</v>
      </c>
      <c r="AI867" s="100">
        <f t="shared" si="515"/>
        <v>2716227.5</v>
      </c>
      <c r="AJ867" s="100">
        <f t="shared" ref="AJ867:AJ873" si="527">(0*AH867)*2</f>
        <v>0</v>
      </c>
      <c r="AK867" s="100">
        <v>0</v>
      </c>
      <c r="AL867" s="100">
        <v>24140</v>
      </c>
      <c r="AM867" s="100">
        <v>0</v>
      </c>
      <c r="AN867" s="100">
        <v>0</v>
      </c>
      <c r="AO867" s="100">
        <v>0</v>
      </c>
      <c r="AP867" s="100">
        <f t="shared" si="516"/>
        <v>137019</v>
      </c>
      <c r="AQ867" s="101">
        <f t="shared" si="517"/>
        <v>2877387</v>
      </c>
      <c r="AR867" s="101">
        <v>0</v>
      </c>
      <c r="AS867" s="101">
        <v>0</v>
      </c>
      <c r="AT867" s="102" t="s">
        <v>33</v>
      </c>
      <c r="AU867" s="109">
        <v>14</v>
      </c>
      <c r="AV867" s="100">
        <f>33.45-19.95</f>
        <v>13.500000000000004</v>
      </c>
      <c r="AW867" s="105">
        <v>0</v>
      </c>
      <c r="AX867" s="216">
        <f t="shared" si="520"/>
        <v>0.72716018816538475</v>
      </c>
      <c r="AY867" s="217">
        <f t="shared" si="521"/>
        <v>19752</v>
      </c>
      <c r="AZ867" s="107"/>
      <c r="BA867" s="94">
        <v>45632.802083333336</v>
      </c>
      <c r="BB867" s="94">
        <v>45632.805555555555</v>
      </c>
      <c r="BC867" s="94">
        <v>45632.833333333336</v>
      </c>
      <c r="BD867" s="94">
        <v>45632.957638888889</v>
      </c>
      <c r="BE867" s="95">
        <f t="shared" si="522"/>
        <v>0.15555555555329192</v>
      </c>
      <c r="BF867" s="95">
        <v>1.3888888888888888E-2</v>
      </c>
      <c r="BG867" s="95">
        <v>1.3888888888888888E-2</v>
      </c>
      <c r="BH867" s="95">
        <f t="shared" si="523"/>
        <v>3.4722222189884633E-3</v>
      </c>
      <c r="BI867" s="95">
        <f t="shared" si="523"/>
        <v>2.7777777781011537E-2</v>
      </c>
      <c r="BJ867" s="95">
        <f t="shared" si="523"/>
        <v>0.12430555555329192</v>
      </c>
      <c r="BK867" s="95">
        <f t="shared" si="524"/>
        <v>0.15208333333430346</v>
      </c>
      <c r="BL867" s="95">
        <f t="shared" si="525"/>
        <v>0.12430555555652567</v>
      </c>
      <c r="BM867" s="95" t="str">
        <f t="shared" si="526"/>
        <v>00:00</v>
      </c>
      <c r="BN867" s="110"/>
    </row>
    <row r="868" spans="1:66" s="8" customFormat="1" ht="12.75" customHeight="1" x14ac:dyDescent="0.25">
      <c r="A868" s="150">
        <v>795</v>
      </c>
      <c r="B868" s="150">
        <v>21</v>
      </c>
      <c r="C868" s="90">
        <v>7</v>
      </c>
      <c r="D868" s="111" t="s">
        <v>113</v>
      </c>
      <c r="E868" s="210" t="s">
        <v>943</v>
      </c>
      <c r="F868" s="150" t="s">
        <v>32</v>
      </c>
      <c r="G868" s="150" t="s">
        <v>15</v>
      </c>
      <c r="H868" s="150" t="s">
        <v>271</v>
      </c>
      <c r="I868" s="150" t="s">
        <v>990</v>
      </c>
      <c r="J868" s="151">
        <v>45632</v>
      </c>
      <c r="K868" s="135" t="s">
        <v>117</v>
      </c>
      <c r="L868" s="135">
        <v>262010600</v>
      </c>
      <c r="M868" s="151">
        <v>45633</v>
      </c>
      <c r="N868" s="152">
        <v>45633.375</v>
      </c>
      <c r="O868" s="152">
        <v>45633.375</v>
      </c>
      <c r="P868" s="152">
        <v>45633.385416666664</v>
      </c>
      <c r="Q868" s="152">
        <v>45633.5625</v>
      </c>
      <c r="R868" s="152" t="s">
        <v>118</v>
      </c>
      <c r="S868" s="152" t="s">
        <v>118</v>
      </c>
      <c r="T868" s="152">
        <v>45633.604166666664</v>
      </c>
      <c r="U868" s="152">
        <v>45633.679861111108</v>
      </c>
      <c r="V868" s="219">
        <f t="shared" si="518"/>
        <v>0.1875</v>
      </c>
      <c r="W868" s="203">
        <v>0.20833333333333334</v>
      </c>
      <c r="X868" s="219" t="str">
        <f t="shared" si="519"/>
        <v>00:00</v>
      </c>
      <c r="Y868" s="96">
        <v>0</v>
      </c>
      <c r="Z868" s="96">
        <v>59</v>
      </c>
      <c r="AA868" s="96">
        <f t="shared" si="511"/>
        <v>59</v>
      </c>
      <c r="AB868" s="97">
        <f t="shared" si="512"/>
        <v>0</v>
      </c>
      <c r="AC868" s="97">
        <f t="shared" si="513"/>
        <v>3906.98</v>
      </c>
      <c r="AD868" s="98">
        <v>3906.98</v>
      </c>
      <c r="AE868" s="98">
        <v>4099.6000000000004</v>
      </c>
      <c r="AF868" s="98">
        <v>4099.6000000000004</v>
      </c>
      <c r="AG868" s="98">
        <f t="shared" si="514"/>
        <v>192.62000000000035</v>
      </c>
      <c r="AH868" s="99">
        <v>1484</v>
      </c>
      <c r="AI868" s="100">
        <f t="shared" si="515"/>
        <v>6083806.4000000004</v>
      </c>
      <c r="AJ868" s="100">
        <f t="shared" si="527"/>
        <v>0</v>
      </c>
      <c r="AK868" s="100">
        <v>0</v>
      </c>
      <c r="AL868" s="100">
        <v>0</v>
      </c>
      <c r="AM868" s="100">
        <v>0</v>
      </c>
      <c r="AN868" s="100">
        <v>0</v>
      </c>
      <c r="AO868" s="100">
        <v>0</v>
      </c>
      <c r="AP868" s="100">
        <f t="shared" si="516"/>
        <v>304191</v>
      </c>
      <c r="AQ868" s="101">
        <f t="shared" si="517"/>
        <v>6387998</v>
      </c>
      <c r="AR868" s="101">
        <v>0</v>
      </c>
      <c r="AS868" s="101">
        <v>0</v>
      </c>
      <c r="AT868" s="102" t="s">
        <v>33</v>
      </c>
      <c r="AU868" s="109" t="s">
        <v>118</v>
      </c>
      <c r="AV868" s="100">
        <v>0</v>
      </c>
      <c r="AW868" s="105">
        <v>0</v>
      </c>
      <c r="AX868" s="216">
        <f t="shared" si="520"/>
        <v>4.6985071714313671</v>
      </c>
      <c r="AY868" s="217">
        <f t="shared" si="521"/>
        <v>285849</v>
      </c>
      <c r="AZ868" s="107"/>
      <c r="BA868" s="94">
        <v>45633.375</v>
      </c>
      <c r="BB868" s="94">
        <v>45633.385416666664</v>
      </c>
      <c r="BC868" s="94">
        <v>45633.388888888891</v>
      </c>
      <c r="BD868" s="94">
        <v>45633.53125</v>
      </c>
      <c r="BE868" s="95">
        <f t="shared" si="522"/>
        <v>0.15625</v>
      </c>
      <c r="BF868" s="95">
        <v>0</v>
      </c>
      <c r="BG868" s="95">
        <v>3.9583333333333331E-2</v>
      </c>
      <c r="BH868" s="95">
        <f t="shared" si="523"/>
        <v>1.0416666664241347E-2</v>
      </c>
      <c r="BI868" s="95">
        <f t="shared" si="523"/>
        <v>3.4722222262644209E-3</v>
      </c>
      <c r="BJ868" s="95">
        <f t="shared" si="523"/>
        <v>0.14236111110949423</v>
      </c>
      <c r="BK868" s="95">
        <f t="shared" si="524"/>
        <v>0.14583333333575865</v>
      </c>
      <c r="BL868" s="95">
        <f t="shared" si="525"/>
        <v>0.10625000000242532</v>
      </c>
      <c r="BM868" s="95" t="str">
        <f t="shared" si="526"/>
        <v>00:00</v>
      </c>
      <c r="BN868" s="110"/>
    </row>
    <row r="869" spans="1:66" s="8" customFormat="1" ht="12.75" customHeight="1" x14ac:dyDescent="0.25">
      <c r="A869" s="150">
        <v>796</v>
      </c>
      <c r="B869" s="150">
        <v>22</v>
      </c>
      <c r="C869" s="90">
        <v>7</v>
      </c>
      <c r="D869" s="111" t="s">
        <v>148</v>
      </c>
      <c r="E869" s="210" t="s">
        <v>983</v>
      </c>
      <c r="F869" s="150" t="s">
        <v>16</v>
      </c>
      <c r="G869" s="150" t="s">
        <v>17</v>
      </c>
      <c r="H869" s="150" t="s">
        <v>150</v>
      </c>
      <c r="I869" s="150" t="s">
        <v>375</v>
      </c>
      <c r="J869" s="151">
        <v>45631</v>
      </c>
      <c r="K869" s="135" t="s">
        <v>122</v>
      </c>
      <c r="L869" s="135">
        <v>461000588</v>
      </c>
      <c r="M869" s="151">
        <v>45634</v>
      </c>
      <c r="N869" s="152">
        <v>45633.541666666664</v>
      </c>
      <c r="O869" s="152">
        <v>45633.541666666664</v>
      </c>
      <c r="P869" s="152">
        <v>45633.548611111109</v>
      </c>
      <c r="Q869" s="152">
        <v>45633.75</v>
      </c>
      <c r="R869" s="152" t="s">
        <v>118</v>
      </c>
      <c r="S869" s="152" t="s">
        <v>118</v>
      </c>
      <c r="T869" s="152">
        <v>45633.770833333336</v>
      </c>
      <c r="U869" s="152">
        <v>45633.992361111108</v>
      </c>
      <c r="V869" s="219">
        <f t="shared" si="518"/>
        <v>0.20833333333575865</v>
      </c>
      <c r="W869" s="203">
        <v>0.20833333333333334</v>
      </c>
      <c r="X869" s="219">
        <f t="shared" si="519"/>
        <v>2.4253099528692701E-12</v>
      </c>
      <c r="Y869" s="96">
        <v>0</v>
      </c>
      <c r="Z869" s="96">
        <v>57</v>
      </c>
      <c r="AA869" s="96">
        <f t="shared" si="511"/>
        <v>57</v>
      </c>
      <c r="AB869" s="97">
        <f t="shared" si="512"/>
        <v>0</v>
      </c>
      <c r="AC869" s="97">
        <f t="shared" si="513"/>
        <v>3939.92</v>
      </c>
      <c r="AD869" s="98">
        <v>3939.92</v>
      </c>
      <c r="AE869" s="98">
        <v>3950.2</v>
      </c>
      <c r="AF869" s="98">
        <v>3973.2</v>
      </c>
      <c r="AG869" s="98">
        <f t="shared" si="514"/>
        <v>33.279999999999745</v>
      </c>
      <c r="AH869" s="99">
        <v>672.5</v>
      </c>
      <c r="AI869" s="100">
        <f t="shared" si="515"/>
        <v>2671977</v>
      </c>
      <c r="AJ869" s="100">
        <f t="shared" si="527"/>
        <v>0</v>
      </c>
      <c r="AK869" s="100">
        <v>0</v>
      </c>
      <c r="AL869" s="100">
        <v>23990</v>
      </c>
      <c r="AM869" s="100">
        <v>0</v>
      </c>
      <c r="AN869" s="100">
        <v>0</v>
      </c>
      <c r="AO869" s="100">
        <v>0</v>
      </c>
      <c r="AP869" s="100">
        <f t="shared" si="516"/>
        <v>134799</v>
      </c>
      <c r="AQ869" s="101">
        <f t="shared" si="517"/>
        <v>2830766</v>
      </c>
      <c r="AR869" s="101">
        <v>0</v>
      </c>
      <c r="AS869" s="101">
        <v>0</v>
      </c>
      <c r="AT869" s="102" t="s">
        <v>33</v>
      </c>
      <c r="AU869" s="109">
        <v>12</v>
      </c>
      <c r="AV869" s="100">
        <f>31.09-19.09</f>
        <v>12</v>
      </c>
      <c r="AW869" s="105">
        <v>0</v>
      </c>
      <c r="AX869" s="216">
        <f t="shared" si="520"/>
        <v>0.83761200040269168</v>
      </c>
      <c r="AY869" s="217">
        <f t="shared" si="521"/>
        <v>22381</v>
      </c>
      <c r="AZ869" s="107"/>
      <c r="BA869" s="94">
        <v>45633.541666666664</v>
      </c>
      <c r="BB869" s="94">
        <v>45633.548611111109</v>
      </c>
      <c r="BC869" s="94">
        <v>45633.548611111109</v>
      </c>
      <c r="BD869" s="94">
        <v>45633.681250000001</v>
      </c>
      <c r="BE869" s="95">
        <f t="shared" si="522"/>
        <v>0.13958333333721384</v>
      </c>
      <c r="BF869" s="95">
        <v>0</v>
      </c>
      <c r="BG869" s="95">
        <v>0</v>
      </c>
      <c r="BH869" s="95">
        <f t="shared" si="523"/>
        <v>6.9444444452528842E-3</v>
      </c>
      <c r="BI869" s="95">
        <f t="shared" si="523"/>
        <v>0</v>
      </c>
      <c r="BJ869" s="95">
        <f t="shared" si="523"/>
        <v>0.13263888889196096</v>
      </c>
      <c r="BK869" s="95">
        <f t="shared" si="524"/>
        <v>0.13263888889196096</v>
      </c>
      <c r="BL869" s="95">
        <f t="shared" si="525"/>
        <v>0.13263888889196096</v>
      </c>
      <c r="BM869" s="95" t="str">
        <f t="shared" si="526"/>
        <v>00:00</v>
      </c>
      <c r="BN869" s="110"/>
    </row>
    <row r="870" spans="1:66" s="8" customFormat="1" ht="12.75" customHeight="1" x14ac:dyDescent="0.25">
      <c r="A870" s="150">
        <v>797</v>
      </c>
      <c r="B870" s="150">
        <v>23</v>
      </c>
      <c r="C870" s="90">
        <v>8</v>
      </c>
      <c r="D870" s="111" t="s">
        <v>148</v>
      </c>
      <c r="E870" s="210" t="s">
        <v>983</v>
      </c>
      <c r="F870" s="150" t="s">
        <v>16</v>
      </c>
      <c r="G870" s="150" t="s">
        <v>17</v>
      </c>
      <c r="H870" s="150" t="s">
        <v>150</v>
      </c>
      <c r="I870" s="150" t="s">
        <v>377</v>
      </c>
      <c r="J870" s="151">
        <v>45632</v>
      </c>
      <c r="K870" s="135" t="s">
        <v>117</v>
      </c>
      <c r="L870" s="135">
        <v>441000018</v>
      </c>
      <c r="M870" s="151">
        <v>45634</v>
      </c>
      <c r="N870" s="152">
        <v>45633.739583333336</v>
      </c>
      <c r="O870" s="152">
        <v>45633.739583333336</v>
      </c>
      <c r="P870" s="152">
        <v>45633.743055555555</v>
      </c>
      <c r="Q870" s="152">
        <v>45633.895833333336</v>
      </c>
      <c r="R870" s="152" t="s">
        <v>118</v>
      </c>
      <c r="S870" s="152" t="s">
        <v>118</v>
      </c>
      <c r="T870" s="152">
        <v>45633.9375</v>
      </c>
      <c r="U870" s="152">
        <v>45634.159722222219</v>
      </c>
      <c r="V870" s="219">
        <f t="shared" si="518"/>
        <v>0.15625</v>
      </c>
      <c r="W870" s="203">
        <v>0.20833333333333334</v>
      </c>
      <c r="X870" s="219" t="str">
        <f t="shared" si="519"/>
        <v>00:00</v>
      </c>
      <c r="Y870" s="96">
        <v>0</v>
      </c>
      <c r="Z870" s="96">
        <v>58</v>
      </c>
      <c r="AA870" s="96">
        <f t="shared" si="511"/>
        <v>58</v>
      </c>
      <c r="AB870" s="97">
        <f t="shared" si="512"/>
        <v>0</v>
      </c>
      <c r="AC870" s="97">
        <f t="shared" si="513"/>
        <v>4105.8999999999996</v>
      </c>
      <c r="AD870" s="98">
        <v>4105.8999999999996</v>
      </c>
      <c r="AE870" s="98">
        <v>4060</v>
      </c>
      <c r="AF870" s="98">
        <v>4115.2</v>
      </c>
      <c r="AG870" s="98">
        <f t="shared" si="514"/>
        <v>9.3000000000001819</v>
      </c>
      <c r="AH870" s="99">
        <v>672.5</v>
      </c>
      <c r="AI870" s="100">
        <f t="shared" si="515"/>
        <v>2767472</v>
      </c>
      <c r="AJ870" s="100">
        <f t="shared" si="527"/>
        <v>0</v>
      </c>
      <c r="AK870" s="100">
        <v>0</v>
      </c>
      <c r="AL870" s="100">
        <v>48280</v>
      </c>
      <c r="AM870" s="100">
        <v>0</v>
      </c>
      <c r="AN870" s="100">
        <v>0</v>
      </c>
      <c r="AO870" s="100">
        <v>0</v>
      </c>
      <c r="AP870" s="100">
        <f t="shared" si="516"/>
        <v>140788</v>
      </c>
      <c r="AQ870" s="101">
        <f t="shared" si="517"/>
        <v>2956540</v>
      </c>
      <c r="AR870" s="101">
        <v>0</v>
      </c>
      <c r="AS870" s="101">
        <v>0</v>
      </c>
      <c r="AT870" s="102" t="s">
        <v>33</v>
      </c>
      <c r="AU870" s="109">
        <v>44</v>
      </c>
      <c r="AV870" s="100">
        <f>89.4-45.9</f>
        <v>43.500000000000007</v>
      </c>
      <c r="AW870" s="105">
        <v>0</v>
      </c>
      <c r="AX870" s="216">
        <f t="shared" si="520"/>
        <v>0.22599144634526105</v>
      </c>
      <c r="AY870" s="217">
        <f t="shared" si="521"/>
        <v>6255</v>
      </c>
      <c r="AZ870" s="107"/>
      <c r="BA870" s="94">
        <v>45633.739583333336</v>
      </c>
      <c r="BB870" s="94">
        <v>45633.743055555555</v>
      </c>
      <c r="BC870" s="94">
        <v>45633.743055555555</v>
      </c>
      <c r="BD870" s="94">
        <v>45633.875</v>
      </c>
      <c r="BE870" s="95">
        <f t="shared" si="522"/>
        <v>0.13541666666424135</v>
      </c>
      <c r="BF870" s="95">
        <v>0</v>
      </c>
      <c r="BG870" s="95">
        <v>0</v>
      </c>
      <c r="BH870" s="95">
        <f t="shared" si="523"/>
        <v>3.4722222189884633E-3</v>
      </c>
      <c r="BI870" s="95">
        <f t="shared" si="523"/>
        <v>0</v>
      </c>
      <c r="BJ870" s="95">
        <f t="shared" si="523"/>
        <v>0.13194444444525288</v>
      </c>
      <c r="BK870" s="95">
        <f t="shared" si="524"/>
        <v>0.13194444444525288</v>
      </c>
      <c r="BL870" s="95">
        <f t="shared" si="525"/>
        <v>0.13194444444525288</v>
      </c>
      <c r="BM870" s="95" t="str">
        <f t="shared" si="526"/>
        <v>00:00</v>
      </c>
      <c r="BN870" s="110"/>
    </row>
    <row r="871" spans="1:66" s="8" customFormat="1" ht="12.75" customHeight="1" x14ac:dyDescent="0.25">
      <c r="A871" s="150">
        <v>798</v>
      </c>
      <c r="B871" s="150">
        <v>24</v>
      </c>
      <c r="C871" s="90">
        <v>9</v>
      </c>
      <c r="D871" s="111" t="s">
        <v>148</v>
      </c>
      <c r="E871" s="210" t="s">
        <v>983</v>
      </c>
      <c r="F871" s="150" t="s">
        <v>16</v>
      </c>
      <c r="G871" s="150" t="s">
        <v>17</v>
      </c>
      <c r="H871" s="150" t="s">
        <v>150</v>
      </c>
      <c r="I871" s="150" t="s">
        <v>379</v>
      </c>
      <c r="J871" s="151">
        <v>45632</v>
      </c>
      <c r="K871" s="135" t="s">
        <v>122</v>
      </c>
      <c r="L871" s="135">
        <v>461000589</v>
      </c>
      <c r="M871" s="151">
        <v>45634</v>
      </c>
      <c r="N871" s="152">
        <v>45634.03125</v>
      </c>
      <c r="O871" s="152">
        <v>45634.03125</v>
      </c>
      <c r="P871" s="152">
        <v>45634.038194444445</v>
      </c>
      <c r="Q871" s="152">
        <v>45634.239583333336</v>
      </c>
      <c r="R871" s="152" t="s">
        <v>118</v>
      </c>
      <c r="S871" s="152" t="s">
        <v>118</v>
      </c>
      <c r="T871" s="152">
        <v>45634.270833333336</v>
      </c>
      <c r="U871" s="152">
        <v>45634.399305555555</v>
      </c>
      <c r="V871" s="219">
        <f t="shared" si="518"/>
        <v>0.20833333333575865</v>
      </c>
      <c r="W871" s="203">
        <v>0.20833333333333334</v>
      </c>
      <c r="X871" s="219">
        <f t="shared" si="519"/>
        <v>2.4253099528692701E-12</v>
      </c>
      <c r="Y871" s="96">
        <v>0</v>
      </c>
      <c r="Z871" s="96">
        <v>58</v>
      </c>
      <c r="AA871" s="96">
        <f t="shared" si="511"/>
        <v>58</v>
      </c>
      <c r="AB871" s="97">
        <f t="shared" si="512"/>
        <v>0</v>
      </c>
      <c r="AC871" s="97">
        <f t="shared" si="513"/>
        <v>4060.2100000000005</v>
      </c>
      <c r="AD871" s="98">
        <v>4060.21</v>
      </c>
      <c r="AE871" s="98">
        <v>4035.2</v>
      </c>
      <c r="AF871" s="98">
        <v>4071.4</v>
      </c>
      <c r="AG871" s="98">
        <f t="shared" si="514"/>
        <v>11.190000000000055</v>
      </c>
      <c r="AH871" s="99">
        <v>672.5</v>
      </c>
      <c r="AI871" s="100">
        <f t="shared" si="515"/>
        <v>2738016.5</v>
      </c>
      <c r="AJ871" s="100">
        <f t="shared" si="527"/>
        <v>0</v>
      </c>
      <c r="AK871" s="100">
        <v>0</v>
      </c>
      <c r="AL871" s="100">
        <v>24140</v>
      </c>
      <c r="AM871" s="100">
        <v>0</v>
      </c>
      <c r="AN871" s="100">
        <v>0</v>
      </c>
      <c r="AO871" s="100">
        <v>0</v>
      </c>
      <c r="AP871" s="100">
        <f t="shared" si="516"/>
        <v>138108</v>
      </c>
      <c r="AQ871" s="101">
        <f t="shared" si="517"/>
        <v>2900265</v>
      </c>
      <c r="AR871" s="101">
        <v>0</v>
      </c>
      <c r="AS871" s="101">
        <v>0</v>
      </c>
      <c r="AT871" s="102" t="s">
        <v>33</v>
      </c>
      <c r="AU871" s="109">
        <v>23</v>
      </c>
      <c r="AV871" s="100">
        <f>45.72-30.72</f>
        <v>15</v>
      </c>
      <c r="AW871" s="105">
        <v>0</v>
      </c>
      <c r="AX871" s="216">
        <f t="shared" si="520"/>
        <v>0.27484403399322233</v>
      </c>
      <c r="AY871" s="217">
        <f t="shared" si="521"/>
        <v>7526</v>
      </c>
      <c r="AZ871" s="107"/>
      <c r="BA871" s="94">
        <v>45634.03125</v>
      </c>
      <c r="BB871" s="94">
        <v>45634.038194444445</v>
      </c>
      <c r="BC871" s="94">
        <v>45634.038194444445</v>
      </c>
      <c r="BD871" s="94">
        <v>45634.15347222222</v>
      </c>
      <c r="BE871" s="95">
        <f t="shared" si="522"/>
        <v>0.12222222222044365</v>
      </c>
      <c r="BF871" s="95">
        <v>0</v>
      </c>
      <c r="BG871" s="95">
        <v>0</v>
      </c>
      <c r="BH871" s="95">
        <f t="shared" si="523"/>
        <v>6.9444444452528842E-3</v>
      </c>
      <c r="BI871" s="95">
        <f t="shared" si="523"/>
        <v>0</v>
      </c>
      <c r="BJ871" s="95">
        <f t="shared" si="523"/>
        <v>0.11527777777519077</v>
      </c>
      <c r="BK871" s="95">
        <f t="shared" si="524"/>
        <v>0.11527777777519077</v>
      </c>
      <c r="BL871" s="95">
        <f t="shared" si="525"/>
        <v>0.11527777777519077</v>
      </c>
      <c r="BM871" s="95" t="str">
        <f t="shared" si="526"/>
        <v>00:00</v>
      </c>
      <c r="BN871" s="110"/>
    </row>
    <row r="872" spans="1:66" s="8" customFormat="1" ht="12.75" customHeight="1" x14ac:dyDescent="0.25">
      <c r="A872" s="150">
        <v>799</v>
      </c>
      <c r="B872" s="150">
        <v>25</v>
      </c>
      <c r="C872" s="90">
        <v>2</v>
      </c>
      <c r="D872" s="111" t="s">
        <v>113</v>
      </c>
      <c r="E872" s="210" t="s">
        <v>991</v>
      </c>
      <c r="F872" s="150" t="s">
        <v>27</v>
      </c>
      <c r="G872" s="150" t="s">
        <v>12</v>
      </c>
      <c r="H872" s="150" t="s">
        <v>115</v>
      </c>
      <c r="I872" s="150" t="s">
        <v>992</v>
      </c>
      <c r="J872" s="151">
        <v>45633</v>
      </c>
      <c r="K872" s="135" t="s">
        <v>117</v>
      </c>
      <c r="L872" s="135">
        <v>282001071</v>
      </c>
      <c r="M872" s="151">
        <v>45634</v>
      </c>
      <c r="N872" s="152">
        <v>45634.197916666664</v>
      </c>
      <c r="O872" s="152">
        <v>45634.197916666664</v>
      </c>
      <c r="P872" s="152" t="s">
        <v>993</v>
      </c>
      <c r="Q872" s="152">
        <v>45634.395833333336</v>
      </c>
      <c r="R872" s="152" t="s">
        <v>118</v>
      </c>
      <c r="S872" s="152" t="s">
        <v>118</v>
      </c>
      <c r="T872" s="152">
        <v>45634.4375</v>
      </c>
      <c r="U872" s="152">
        <v>45634.642361111109</v>
      </c>
      <c r="V872" s="219">
        <f t="shared" si="518"/>
        <v>0.19791666667151731</v>
      </c>
      <c r="W872" s="203">
        <v>0.20833333333333334</v>
      </c>
      <c r="X872" s="219" t="str">
        <f t="shared" si="519"/>
        <v>00:00</v>
      </c>
      <c r="Y872" s="96">
        <v>0</v>
      </c>
      <c r="Z872" s="96">
        <v>58</v>
      </c>
      <c r="AA872" s="96">
        <f t="shared" si="511"/>
        <v>58</v>
      </c>
      <c r="AB872" s="97">
        <f t="shared" si="512"/>
        <v>0</v>
      </c>
      <c r="AC872" s="97">
        <f t="shared" si="513"/>
        <v>3985.8900000000003</v>
      </c>
      <c r="AD872" s="98">
        <v>3985.89</v>
      </c>
      <c r="AE872" s="98">
        <v>4010.9</v>
      </c>
      <c r="AF872" s="98">
        <v>4029</v>
      </c>
      <c r="AG872" s="98">
        <f t="shared" si="514"/>
        <v>43.110000000000127</v>
      </c>
      <c r="AH872" s="99">
        <v>1586.7</v>
      </c>
      <c r="AI872" s="100">
        <f t="shared" si="515"/>
        <v>6392814.2999999998</v>
      </c>
      <c r="AJ872" s="100">
        <f t="shared" si="527"/>
        <v>0</v>
      </c>
      <c r="AK872" s="100">
        <v>0</v>
      </c>
      <c r="AL872" s="100">
        <v>24140</v>
      </c>
      <c r="AM872" s="100">
        <v>0</v>
      </c>
      <c r="AN872" s="100">
        <v>0</v>
      </c>
      <c r="AO872" s="100">
        <f>IFERROR(AF872*20+(((AJ872/AH872)/2)*20),0)</f>
        <v>80580</v>
      </c>
      <c r="AP872" s="100">
        <f t="shared" si="516"/>
        <v>324877</v>
      </c>
      <c r="AQ872" s="101">
        <f t="shared" si="517"/>
        <v>6822412</v>
      </c>
      <c r="AR872" s="101">
        <v>0</v>
      </c>
      <c r="AS872" s="101">
        <v>0</v>
      </c>
      <c r="AT872" s="102" t="s">
        <v>33</v>
      </c>
      <c r="AU872" s="109">
        <v>13</v>
      </c>
      <c r="AV872" s="100">
        <f>27.97-15.47</f>
        <v>12.499999999999998</v>
      </c>
      <c r="AW872" s="105">
        <v>0</v>
      </c>
      <c r="AX872" s="216">
        <f t="shared" si="520"/>
        <v>1.0699925539836219</v>
      </c>
      <c r="AY872" s="217">
        <f t="shared" si="521"/>
        <v>68403</v>
      </c>
      <c r="AZ872" s="107"/>
      <c r="BA872" s="94">
        <v>45634.197916666664</v>
      </c>
      <c r="BB872" s="94">
        <v>45634.204861111109</v>
      </c>
      <c r="BC872" s="94">
        <v>45634.208333333336</v>
      </c>
      <c r="BD872" s="94">
        <v>45634.349305555559</v>
      </c>
      <c r="BE872" s="95">
        <f t="shared" si="522"/>
        <v>0.15138888889487134</v>
      </c>
      <c r="BF872" s="95">
        <v>2.7777777777777779E-3</v>
      </c>
      <c r="BG872" s="95">
        <v>1.1805555555555555E-2</v>
      </c>
      <c r="BH872" s="95">
        <f t="shared" si="523"/>
        <v>6.9444444452528842E-3</v>
      </c>
      <c r="BI872" s="95">
        <f t="shared" si="523"/>
        <v>3.4722222262644209E-3</v>
      </c>
      <c r="BJ872" s="95">
        <f t="shared" si="523"/>
        <v>0.14097222222335404</v>
      </c>
      <c r="BK872" s="95">
        <f t="shared" si="524"/>
        <v>0.14444444444961846</v>
      </c>
      <c r="BL872" s="95">
        <f t="shared" si="525"/>
        <v>0.12986111111628512</v>
      </c>
      <c r="BM872" s="95" t="str">
        <f t="shared" si="526"/>
        <v>00:00</v>
      </c>
      <c r="BN872" s="110"/>
    </row>
    <row r="873" spans="1:66" s="8" customFormat="1" ht="12.75" customHeight="1" x14ac:dyDescent="0.25">
      <c r="A873" s="150">
        <v>800</v>
      </c>
      <c r="B873" s="150">
        <v>26</v>
      </c>
      <c r="C873" s="90">
        <v>10</v>
      </c>
      <c r="D873" s="111" t="s">
        <v>148</v>
      </c>
      <c r="E873" s="210" t="s">
        <v>983</v>
      </c>
      <c r="F873" s="150" t="s">
        <v>16</v>
      </c>
      <c r="G873" s="150" t="s">
        <v>17</v>
      </c>
      <c r="H873" s="150" t="s">
        <v>150</v>
      </c>
      <c r="I873" s="150" t="s">
        <v>384</v>
      </c>
      <c r="J873" s="151">
        <v>45632</v>
      </c>
      <c r="K873" s="135" t="s">
        <v>122</v>
      </c>
      <c r="L873" s="135">
        <v>461000590</v>
      </c>
      <c r="M873" s="151">
        <v>45634</v>
      </c>
      <c r="N873" s="152">
        <v>45634.4375</v>
      </c>
      <c r="O873" s="152">
        <v>45634.4375</v>
      </c>
      <c r="P873" s="152">
        <v>45634.444444444445</v>
      </c>
      <c r="Q873" s="152">
        <v>45634.645833333336</v>
      </c>
      <c r="R873" s="152" t="s">
        <v>118</v>
      </c>
      <c r="S873" s="152" t="s">
        <v>118</v>
      </c>
      <c r="T873" s="152">
        <v>45634.666666666664</v>
      </c>
      <c r="U873" s="152">
        <v>45634.791666666664</v>
      </c>
      <c r="V873" s="219">
        <f t="shared" si="518"/>
        <v>0.20833333333575865</v>
      </c>
      <c r="W873" s="203">
        <v>0.20833333333333334</v>
      </c>
      <c r="X873" s="219">
        <f t="shared" si="519"/>
        <v>2.4253099528692701E-12</v>
      </c>
      <c r="Y873" s="96">
        <v>0</v>
      </c>
      <c r="Z873" s="96">
        <v>58</v>
      </c>
      <c r="AA873" s="96">
        <f t="shared" si="511"/>
        <v>58</v>
      </c>
      <c r="AB873" s="97">
        <f t="shared" si="512"/>
        <v>0</v>
      </c>
      <c r="AC873" s="97">
        <f t="shared" si="513"/>
        <v>4019.06</v>
      </c>
      <c r="AD873" s="98">
        <v>4019.06</v>
      </c>
      <c r="AE873" s="98">
        <v>4019.8</v>
      </c>
      <c r="AF873" s="98">
        <v>4049.4</v>
      </c>
      <c r="AG873" s="98">
        <f t="shared" si="514"/>
        <v>30.340000000000146</v>
      </c>
      <c r="AH873" s="99">
        <v>672.5</v>
      </c>
      <c r="AI873" s="100">
        <f t="shared" si="515"/>
        <v>2723221.5</v>
      </c>
      <c r="AJ873" s="100">
        <f t="shared" si="527"/>
        <v>0</v>
      </c>
      <c r="AK873" s="100">
        <v>0</v>
      </c>
      <c r="AL873" s="100">
        <v>24140</v>
      </c>
      <c r="AM873" s="100">
        <v>0</v>
      </c>
      <c r="AN873" s="100">
        <v>0</v>
      </c>
      <c r="AO873" s="100">
        <v>0</v>
      </c>
      <c r="AP873" s="100">
        <f t="shared" si="516"/>
        <v>137369</v>
      </c>
      <c r="AQ873" s="101">
        <f t="shared" si="517"/>
        <v>2884731</v>
      </c>
      <c r="AR873" s="101">
        <v>0</v>
      </c>
      <c r="AS873" s="101">
        <v>0</v>
      </c>
      <c r="AT873" s="102" t="s">
        <v>33</v>
      </c>
      <c r="AU873" s="109">
        <v>16</v>
      </c>
      <c r="AV873" s="100">
        <f>45.15-26.15</f>
        <v>19</v>
      </c>
      <c r="AW873" s="105">
        <v>0</v>
      </c>
      <c r="AX873" s="216">
        <f t="shared" si="520"/>
        <v>0.74924680199536098</v>
      </c>
      <c r="AY873" s="217">
        <f t="shared" si="521"/>
        <v>20404</v>
      </c>
      <c r="AZ873" s="107"/>
      <c r="BA873" s="94">
        <v>45634.4375</v>
      </c>
      <c r="BB873" s="94">
        <v>45634.444444444445</v>
      </c>
      <c r="BC873" s="94">
        <v>45634.444444444445</v>
      </c>
      <c r="BD873" s="94">
        <v>45634.555555555555</v>
      </c>
      <c r="BE873" s="95">
        <f t="shared" si="522"/>
        <v>0.11805555555474712</v>
      </c>
      <c r="BF873" s="95">
        <v>0</v>
      </c>
      <c r="BG873" s="95">
        <v>0</v>
      </c>
      <c r="BH873" s="95">
        <f t="shared" si="523"/>
        <v>6.9444444452528842E-3</v>
      </c>
      <c r="BI873" s="95">
        <f t="shared" si="523"/>
        <v>0</v>
      </c>
      <c r="BJ873" s="95">
        <f t="shared" si="523"/>
        <v>0.11111111110949423</v>
      </c>
      <c r="BK873" s="95">
        <f t="shared" si="524"/>
        <v>0.11111111110949423</v>
      </c>
      <c r="BL873" s="95">
        <f t="shared" si="525"/>
        <v>0.11111111110949423</v>
      </c>
      <c r="BM873" s="95" t="str">
        <f t="shared" si="526"/>
        <v>00:00</v>
      </c>
      <c r="BN873" s="110"/>
    </row>
    <row r="874" spans="1:66" s="8" customFormat="1" ht="12.75" customHeight="1" x14ac:dyDescent="0.25">
      <c r="A874" s="115">
        <v>801</v>
      </c>
      <c r="B874" s="115">
        <v>27</v>
      </c>
      <c r="C874" s="90">
        <v>16</v>
      </c>
      <c r="D874" s="115" t="s">
        <v>113</v>
      </c>
      <c r="E874" s="210" t="s">
        <v>940</v>
      </c>
      <c r="F874" s="115" t="s">
        <v>29</v>
      </c>
      <c r="G874" s="115" t="s">
        <v>15</v>
      </c>
      <c r="H874" s="115" t="s">
        <v>124</v>
      </c>
      <c r="I874" s="115" t="s">
        <v>994</v>
      </c>
      <c r="J874" s="117">
        <v>45634</v>
      </c>
      <c r="K874" s="116" t="s">
        <v>117</v>
      </c>
      <c r="L874" s="116">
        <v>461000591</v>
      </c>
      <c r="M874" s="117">
        <v>45635</v>
      </c>
      <c r="N874" s="118">
        <v>45634.666666666664</v>
      </c>
      <c r="O874" s="118">
        <v>45634.666666666664</v>
      </c>
      <c r="P874" s="118">
        <v>45634.673611111109</v>
      </c>
      <c r="Q874" s="118">
        <v>45634.864583333336</v>
      </c>
      <c r="R874" s="118" t="s">
        <v>118</v>
      </c>
      <c r="S874" s="118" t="s">
        <v>118</v>
      </c>
      <c r="T874" s="118">
        <v>45634.916666666664</v>
      </c>
      <c r="U874" s="118">
        <v>45635.088888888888</v>
      </c>
      <c r="V874" s="119">
        <f t="shared" si="518"/>
        <v>0.19791666667151731</v>
      </c>
      <c r="W874" s="185">
        <v>0.20833333333333334</v>
      </c>
      <c r="X874" s="119" t="str">
        <f t="shared" si="519"/>
        <v>00:00</v>
      </c>
      <c r="Y874" s="96">
        <v>0</v>
      </c>
      <c r="Z874" s="96">
        <v>33</v>
      </c>
      <c r="AA874" s="96">
        <f t="shared" si="511"/>
        <v>33</v>
      </c>
      <c r="AB874" s="97">
        <f t="shared" si="512"/>
        <v>0</v>
      </c>
      <c r="AC874" s="97">
        <f t="shared" si="513"/>
        <v>2214.5699999999997</v>
      </c>
      <c r="AD874" s="98">
        <f>3956.49-1741.92</f>
        <v>2214.5699999999997</v>
      </c>
      <c r="AE874" s="98">
        <f>4040.1-1740.1</f>
        <v>2300</v>
      </c>
      <c r="AF874" s="98">
        <f>4044.6-1741.92</f>
        <v>2302.6799999999998</v>
      </c>
      <c r="AG874" s="98">
        <f t="shared" si="514"/>
        <v>88.110000000000127</v>
      </c>
      <c r="AH874" s="99">
        <v>797.2</v>
      </c>
      <c r="AI874" s="100">
        <f t="shared" si="515"/>
        <v>1835696.496</v>
      </c>
      <c r="AJ874" s="100">
        <f>(0.8*AH874)*2</f>
        <v>1275.5200000000002</v>
      </c>
      <c r="AK874" s="100">
        <v>0</v>
      </c>
      <c r="AL874" s="100">
        <v>0</v>
      </c>
      <c r="AM874" s="100">
        <v>0</v>
      </c>
      <c r="AN874" s="100">
        <v>0</v>
      </c>
      <c r="AO874" s="100">
        <v>0</v>
      </c>
      <c r="AP874" s="100">
        <f t="shared" si="516"/>
        <v>91849</v>
      </c>
      <c r="AQ874" s="101">
        <f>ROUNDUP(SUM(AI874:AP874),0)-1</f>
        <v>1928821</v>
      </c>
      <c r="AR874" s="101">
        <v>0</v>
      </c>
      <c r="AS874" s="101">
        <v>0</v>
      </c>
      <c r="AT874" s="137" t="s">
        <v>33</v>
      </c>
      <c r="AU874" s="120" t="s">
        <v>118</v>
      </c>
      <c r="AV874" s="121">
        <v>0</v>
      </c>
      <c r="AW874" s="105">
        <v>0</v>
      </c>
      <c r="AX874" s="140">
        <f>IFERROR(((AG874+AG875)/(AF874+AF875))*100, "")</f>
        <v>2.1784601691143779</v>
      </c>
      <c r="AY874" s="141">
        <f>ROUNDUP((AG874+AG875)*AH874,0)</f>
        <v>70242</v>
      </c>
      <c r="AZ874" s="107"/>
      <c r="BA874" s="118">
        <v>45634.666666666664</v>
      </c>
      <c r="BB874" s="118">
        <v>45634.673611111109</v>
      </c>
      <c r="BC874" s="118">
        <v>45634.677083333336</v>
      </c>
      <c r="BD874" s="118">
        <v>45634.847222222219</v>
      </c>
      <c r="BE874" s="119">
        <f t="shared" si="522"/>
        <v>0.18055555555474712</v>
      </c>
      <c r="BF874" s="119">
        <v>0</v>
      </c>
      <c r="BG874" s="119">
        <v>5.1388888888888887E-2</v>
      </c>
      <c r="BH874" s="119">
        <f t="shared" si="523"/>
        <v>6.9444444452528842E-3</v>
      </c>
      <c r="BI874" s="119">
        <f t="shared" si="523"/>
        <v>3.4722222262644209E-3</v>
      </c>
      <c r="BJ874" s="119">
        <f t="shared" si="523"/>
        <v>0.17013888888322981</v>
      </c>
      <c r="BK874" s="119">
        <f t="shared" si="524"/>
        <v>0.17361111110949423</v>
      </c>
      <c r="BL874" s="119">
        <f t="shared" si="525"/>
        <v>0.12222222222060534</v>
      </c>
      <c r="BM874" s="119" t="str">
        <f t="shared" si="526"/>
        <v>00:00</v>
      </c>
      <c r="BN874" s="110" t="s">
        <v>995</v>
      </c>
    </row>
    <row r="875" spans="1:66" s="8" customFormat="1" ht="12.75" customHeight="1" x14ac:dyDescent="0.25">
      <c r="A875" s="122"/>
      <c r="B875" s="122"/>
      <c r="C875" s="90">
        <v>1</v>
      </c>
      <c r="D875" s="122"/>
      <c r="E875" s="210" t="s">
        <v>996</v>
      </c>
      <c r="F875" s="122"/>
      <c r="G875" s="122"/>
      <c r="H875" s="122"/>
      <c r="I875" s="122"/>
      <c r="J875" s="124"/>
      <c r="K875" s="123"/>
      <c r="L875" s="123"/>
      <c r="M875" s="124"/>
      <c r="N875" s="125"/>
      <c r="O875" s="125"/>
      <c r="P875" s="125"/>
      <c r="Q875" s="125"/>
      <c r="R875" s="125"/>
      <c r="S875" s="125"/>
      <c r="T875" s="125"/>
      <c r="U875" s="125"/>
      <c r="V875" s="126"/>
      <c r="W875" s="189"/>
      <c r="X875" s="126"/>
      <c r="Y875" s="96">
        <v>0</v>
      </c>
      <c r="Z875" s="96">
        <v>25</v>
      </c>
      <c r="AA875" s="96">
        <f t="shared" si="511"/>
        <v>25</v>
      </c>
      <c r="AB875" s="97">
        <f t="shared" si="512"/>
        <v>0</v>
      </c>
      <c r="AC875" s="97">
        <f t="shared" si="513"/>
        <v>1741.92</v>
      </c>
      <c r="AD875" s="98">
        <v>1741.92</v>
      </c>
      <c r="AE875" s="98">
        <v>1740.1</v>
      </c>
      <c r="AF875" s="98">
        <v>1741.92</v>
      </c>
      <c r="AG875" s="98">
        <f t="shared" si="514"/>
        <v>0</v>
      </c>
      <c r="AH875" s="99">
        <v>797.2</v>
      </c>
      <c r="AI875" s="100">
        <f t="shared" si="515"/>
        <v>1388658.6240000001</v>
      </c>
      <c r="AJ875" s="100">
        <f>(0*AH875)*2</f>
        <v>0</v>
      </c>
      <c r="AK875" s="100">
        <v>0</v>
      </c>
      <c r="AL875" s="100">
        <v>0</v>
      </c>
      <c r="AM875" s="100">
        <v>0</v>
      </c>
      <c r="AN875" s="100">
        <v>0</v>
      </c>
      <c r="AO875" s="100">
        <v>0</v>
      </c>
      <c r="AP875" s="100">
        <f t="shared" si="516"/>
        <v>69433</v>
      </c>
      <c r="AQ875" s="101">
        <f t="shared" ref="AQ875:AQ920" si="528">ROUNDUP(SUM(AI875:AP875),0)</f>
        <v>1458092</v>
      </c>
      <c r="AR875" s="101">
        <v>0</v>
      </c>
      <c r="AS875" s="101">
        <v>0</v>
      </c>
      <c r="AT875" s="138"/>
      <c r="AU875" s="127"/>
      <c r="AV875" s="128"/>
      <c r="AW875" s="105">
        <v>0</v>
      </c>
      <c r="AX875" s="144"/>
      <c r="AY875" s="145"/>
      <c r="AZ875" s="107"/>
      <c r="BA875" s="125"/>
      <c r="BB875" s="125"/>
      <c r="BC875" s="125"/>
      <c r="BD875" s="125"/>
      <c r="BE875" s="126"/>
      <c r="BF875" s="126"/>
      <c r="BG875" s="126"/>
      <c r="BH875" s="126"/>
      <c r="BI875" s="126"/>
      <c r="BJ875" s="126"/>
      <c r="BK875" s="126"/>
      <c r="BL875" s="126"/>
      <c r="BM875" s="126"/>
      <c r="BN875" s="110" t="s">
        <v>997</v>
      </c>
    </row>
    <row r="876" spans="1:66" s="8" customFormat="1" ht="12.75" customHeight="1" x14ac:dyDescent="0.25">
      <c r="A876" s="150">
        <v>802</v>
      </c>
      <c r="B876" s="150">
        <v>28</v>
      </c>
      <c r="C876" s="90">
        <v>8</v>
      </c>
      <c r="D876" s="111" t="s">
        <v>113</v>
      </c>
      <c r="E876" s="210" t="s">
        <v>943</v>
      </c>
      <c r="F876" s="150" t="s">
        <v>32</v>
      </c>
      <c r="G876" s="150" t="s">
        <v>15</v>
      </c>
      <c r="H876" s="150" t="s">
        <v>127</v>
      </c>
      <c r="I876" s="150" t="s">
        <v>998</v>
      </c>
      <c r="J876" s="151">
        <v>45635</v>
      </c>
      <c r="K876" s="135" t="s">
        <v>117</v>
      </c>
      <c r="L876" s="135">
        <v>262010611</v>
      </c>
      <c r="M876" s="151">
        <v>45635</v>
      </c>
      <c r="N876" s="152">
        <v>45635.489583333336</v>
      </c>
      <c r="O876" s="152">
        <v>45635.489583333336</v>
      </c>
      <c r="P876" s="152">
        <v>45635.493055555555</v>
      </c>
      <c r="Q876" s="152">
        <v>45635.666666666664</v>
      </c>
      <c r="R876" s="152" t="s">
        <v>118</v>
      </c>
      <c r="S876" s="152" t="s">
        <v>118</v>
      </c>
      <c r="T876" s="152">
        <v>45635.708333333336</v>
      </c>
      <c r="U876" s="152">
        <v>45635.803472222222</v>
      </c>
      <c r="V876" s="219">
        <f t="shared" ref="V876:V890" si="529">+Q876-O876</f>
        <v>0.17708333332848269</v>
      </c>
      <c r="W876" s="203">
        <v>0.20833333333333334</v>
      </c>
      <c r="X876" s="219" t="str">
        <f t="shared" ref="X876:X890" si="530">IF(VALUE(V876)&lt;=VALUE("05:00"),"00:00",VALUE(V876)-VALUE("05:00"))</f>
        <v>00:00</v>
      </c>
      <c r="Y876" s="96">
        <v>0</v>
      </c>
      <c r="Z876" s="96">
        <v>58</v>
      </c>
      <c r="AA876" s="96">
        <f t="shared" si="511"/>
        <v>58</v>
      </c>
      <c r="AB876" s="97">
        <f t="shared" si="512"/>
        <v>0</v>
      </c>
      <c r="AC876" s="97">
        <f t="shared" si="513"/>
        <v>3973.5899999999997</v>
      </c>
      <c r="AD876" s="98">
        <v>3973.59</v>
      </c>
      <c r="AE876" s="98">
        <v>4028</v>
      </c>
      <c r="AF876" s="98">
        <v>4035.6</v>
      </c>
      <c r="AG876" s="98">
        <f t="shared" si="514"/>
        <v>62.009999999999764</v>
      </c>
      <c r="AH876" s="99">
        <v>1484</v>
      </c>
      <c r="AI876" s="100">
        <f t="shared" si="515"/>
        <v>5988830.3999999994</v>
      </c>
      <c r="AJ876" s="100">
        <f>(1.2*AH876)*2</f>
        <v>3561.6</v>
      </c>
      <c r="AK876" s="100">
        <v>0</v>
      </c>
      <c r="AL876" s="100">
        <v>0</v>
      </c>
      <c r="AM876" s="100">
        <v>0</v>
      </c>
      <c r="AN876" s="100">
        <v>0</v>
      </c>
      <c r="AO876" s="100">
        <v>0</v>
      </c>
      <c r="AP876" s="100">
        <f t="shared" si="516"/>
        <v>299620</v>
      </c>
      <c r="AQ876" s="101">
        <f t="shared" si="528"/>
        <v>6292012</v>
      </c>
      <c r="AR876" s="101">
        <v>0</v>
      </c>
      <c r="AS876" s="101">
        <v>0</v>
      </c>
      <c r="AT876" s="102" t="s">
        <v>33</v>
      </c>
      <c r="AU876" s="109" t="s">
        <v>118</v>
      </c>
      <c r="AV876" s="100">
        <v>0</v>
      </c>
      <c r="AW876" s="105">
        <v>0</v>
      </c>
      <c r="AX876" s="216">
        <f t="shared" ref="AX876:AX889" si="531">IFERROR((AG876/AF876)*100, "")</f>
        <v>1.5365744870651146</v>
      </c>
      <c r="AY876" s="217">
        <f t="shared" ref="AY876:AY889" si="532">ROUNDUP(AG876*AH876,0)</f>
        <v>92023</v>
      </c>
      <c r="AZ876" s="107"/>
      <c r="BA876" s="94">
        <v>45635.489583333336</v>
      </c>
      <c r="BB876" s="94">
        <v>45635.493055555555</v>
      </c>
      <c r="BC876" s="94">
        <v>45635.493055555555</v>
      </c>
      <c r="BD876" s="94">
        <v>45635.668055555558</v>
      </c>
      <c r="BE876" s="95">
        <f t="shared" ref="BE876:BE890" si="533">+BD876-BA876</f>
        <v>0.17847222222189885</v>
      </c>
      <c r="BF876" s="95">
        <v>1.6666666666666666E-2</v>
      </c>
      <c r="BG876" s="95">
        <v>3.4027777777777775E-2</v>
      </c>
      <c r="BH876" s="95">
        <f t="shared" ref="BH876:BJ890" si="534">+BB876-BA876</f>
        <v>3.4722222189884633E-3</v>
      </c>
      <c r="BI876" s="95">
        <f t="shared" si="534"/>
        <v>0</v>
      </c>
      <c r="BJ876" s="95">
        <f t="shared" si="534"/>
        <v>0.17500000000291038</v>
      </c>
      <c r="BK876" s="95">
        <f t="shared" ref="BK876:BK890" si="535">+BI876+BJ876</f>
        <v>0.17500000000291038</v>
      </c>
      <c r="BL876" s="95">
        <f t="shared" ref="BL876:BL890" si="536">+BE876-BH876-BF876-BG876</f>
        <v>0.12430555555846595</v>
      </c>
      <c r="BM876" s="95" t="str">
        <f t="shared" ref="BM876:BM890" si="537">IF(VALUE(BE876)&lt;=VALUE("05:00"),"00:00",VALUE(BE876)-VALUE("05:00"))</f>
        <v>00:00</v>
      </c>
      <c r="BN876" s="110"/>
    </row>
    <row r="877" spans="1:66" s="8" customFormat="1" ht="12.75" customHeight="1" x14ac:dyDescent="0.25">
      <c r="A877" s="150">
        <v>803</v>
      </c>
      <c r="B877" s="150">
        <v>29</v>
      </c>
      <c r="C877" s="90">
        <v>11</v>
      </c>
      <c r="D877" s="111" t="s">
        <v>148</v>
      </c>
      <c r="E877" s="210" t="s">
        <v>983</v>
      </c>
      <c r="F877" s="150" t="s">
        <v>16</v>
      </c>
      <c r="G877" s="150" t="s">
        <v>17</v>
      </c>
      <c r="H877" s="150" t="s">
        <v>150</v>
      </c>
      <c r="I877" s="150" t="s">
        <v>386</v>
      </c>
      <c r="J877" s="151">
        <v>45632</v>
      </c>
      <c r="K877" s="135" t="s">
        <v>122</v>
      </c>
      <c r="L877" s="135">
        <v>461000592</v>
      </c>
      <c r="M877" s="151">
        <v>45636</v>
      </c>
      <c r="N877" s="152">
        <v>45635.645833333336</v>
      </c>
      <c r="O877" s="152">
        <v>45635.645833333336</v>
      </c>
      <c r="P877" s="152">
        <v>45635.649305555555</v>
      </c>
      <c r="Q877" s="152">
        <v>45635.84375</v>
      </c>
      <c r="R877" s="152" t="s">
        <v>118</v>
      </c>
      <c r="S877" s="152" t="s">
        <v>118</v>
      </c>
      <c r="T877" s="152">
        <v>45635.895833333336</v>
      </c>
      <c r="U877" s="152">
        <v>45636.033333333333</v>
      </c>
      <c r="V877" s="219">
        <f t="shared" si="529"/>
        <v>0.19791666666424135</v>
      </c>
      <c r="W877" s="203">
        <v>0.20833333333333334</v>
      </c>
      <c r="X877" s="219" t="str">
        <f t="shared" si="530"/>
        <v>00:00</v>
      </c>
      <c r="Y877" s="96">
        <v>0</v>
      </c>
      <c r="Z877" s="96">
        <v>59</v>
      </c>
      <c r="AA877" s="96">
        <f t="shared" si="511"/>
        <v>59</v>
      </c>
      <c r="AB877" s="97">
        <f t="shared" si="512"/>
        <v>0</v>
      </c>
      <c r="AC877" s="97">
        <f t="shared" si="513"/>
        <v>4129.09</v>
      </c>
      <c r="AD877" s="98">
        <v>4129.09</v>
      </c>
      <c r="AE877" s="98">
        <v>4107.1000000000004</v>
      </c>
      <c r="AF877" s="98">
        <v>4140.8</v>
      </c>
      <c r="AG877" s="98">
        <f t="shared" si="514"/>
        <v>11.710000000000036</v>
      </c>
      <c r="AH877" s="99">
        <v>672.5</v>
      </c>
      <c r="AI877" s="100">
        <f t="shared" si="515"/>
        <v>2784688</v>
      </c>
      <c r="AJ877" s="100">
        <f>(0*AH877)*2</f>
        <v>0</v>
      </c>
      <c r="AK877" s="100">
        <v>0</v>
      </c>
      <c r="AL877" s="100">
        <v>24290</v>
      </c>
      <c r="AM877" s="100">
        <v>0</v>
      </c>
      <c r="AN877" s="100">
        <v>0</v>
      </c>
      <c r="AO877" s="100">
        <v>0</v>
      </c>
      <c r="AP877" s="100">
        <f t="shared" si="516"/>
        <v>140449</v>
      </c>
      <c r="AQ877" s="101">
        <f t="shared" si="528"/>
        <v>2949427</v>
      </c>
      <c r="AR877" s="101">
        <v>0</v>
      </c>
      <c r="AS877" s="101">
        <v>0</v>
      </c>
      <c r="AT877" s="102" t="s">
        <v>33</v>
      </c>
      <c r="AU877" s="109">
        <v>18</v>
      </c>
      <c r="AV877" s="100">
        <f>42.85-29.85</f>
        <v>13</v>
      </c>
      <c r="AW877" s="105">
        <v>0</v>
      </c>
      <c r="AX877" s="216">
        <f t="shared" si="531"/>
        <v>0.28279559505409668</v>
      </c>
      <c r="AY877" s="217">
        <f t="shared" si="532"/>
        <v>7875</v>
      </c>
      <c r="AZ877" s="107"/>
      <c r="BA877" s="94">
        <v>45635.645833333336</v>
      </c>
      <c r="BB877" s="94">
        <v>45635.649305555555</v>
      </c>
      <c r="BC877" s="94">
        <v>45635.675000000003</v>
      </c>
      <c r="BD877" s="94">
        <v>45635.803472222222</v>
      </c>
      <c r="BE877" s="95">
        <f t="shared" si="533"/>
        <v>0.15763888888614019</v>
      </c>
      <c r="BF877" s="95">
        <v>2.7777777777777779E-3</v>
      </c>
      <c r="BG877" s="95">
        <v>2.5694444444444443E-2</v>
      </c>
      <c r="BH877" s="95">
        <f t="shared" si="534"/>
        <v>3.4722222189884633E-3</v>
      </c>
      <c r="BI877" s="95">
        <f t="shared" si="534"/>
        <v>2.5694444448163267E-2</v>
      </c>
      <c r="BJ877" s="95">
        <f t="shared" si="534"/>
        <v>0.12847222221898846</v>
      </c>
      <c r="BK877" s="95">
        <f t="shared" si="535"/>
        <v>0.15416666666715173</v>
      </c>
      <c r="BL877" s="95">
        <f t="shared" si="536"/>
        <v>0.12569444444492953</v>
      </c>
      <c r="BM877" s="95" t="str">
        <f t="shared" si="537"/>
        <v>00:00</v>
      </c>
      <c r="BN877" s="110"/>
    </row>
    <row r="878" spans="1:66" s="8" customFormat="1" ht="12.75" customHeight="1" x14ac:dyDescent="0.25">
      <c r="A878" s="150">
        <v>804</v>
      </c>
      <c r="B878" s="150">
        <v>30</v>
      </c>
      <c r="C878" s="90">
        <v>12</v>
      </c>
      <c r="D878" s="111" t="s">
        <v>148</v>
      </c>
      <c r="E878" s="210" t="s">
        <v>983</v>
      </c>
      <c r="F878" s="150" t="s">
        <v>16</v>
      </c>
      <c r="G878" s="150" t="s">
        <v>17</v>
      </c>
      <c r="H878" s="150" t="s">
        <v>150</v>
      </c>
      <c r="I878" s="150" t="s">
        <v>388</v>
      </c>
      <c r="J878" s="151">
        <v>45633</v>
      </c>
      <c r="K878" s="135" t="s">
        <v>117</v>
      </c>
      <c r="L878" s="135">
        <v>461000593</v>
      </c>
      <c r="M878" s="151">
        <v>45636</v>
      </c>
      <c r="N878" s="152">
        <v>45635.864583333336</v>
      </c>
      <c r="O878" s="152">
        <v>45635.864583333336</v>
      </c>
      <c r="P878" s="152">
        <v>45635.868055555555</v>
      </c>
      <c r="Q878" s="152">
        <v>45636.041666666664</v>
      </c>
      <c r="R878" s="152" t="s">
        <v>118</v>
      </c>
      <c r="S878" s="152" t="s">
        <v>118</v>
      </c>
      <c r="T878" s="152">
        <v>45636.083333333336</v>
      </c>
      <c r="U878" s="152">
        <v>45636.222222222219</v>
      </c>
      <c r="V878" s="219">
        <f t="shared" si="529"/>
        <v>0.17708333332848269</v>
      </c>
      <c r="W878" s="203">
        <v>0.20833333333333334</v>
      </c>
      <c r="X878" s="219" t="str">
        <f t="shared" si="530"/>
        <v>00:00</v>
      </c>
      <c r="Y878" s="96">
        <v>4</v>
      </c>
      <c r="Z878" s="96">
        <v>55</v>
      </c>
      <c r="AA878" s="96">
        <f t="shared" si="511"/>
        <v>59</v>
      </c>
      <c r="AB878" s="97">
        <f t="shared" si="512"/>
        <v>280.94711864406781</v>
      </c>
      <c r="AC878" s="97">
        <f t="shared" si="513"/>
        <v>3863.0228813559324</v>
      </c>
      <c r="AD878" s="98">
        <v>4143.97</v>
      </c>
      <c r="AE878" s="98">
        <v>4112</v>
      </c>
      <c r="AF878" s="98">
        <v>4152.8</v>
      </c>
      <c r="AG878" s="98">
        <f t="shared" si="514"/>
        <v>8.8299999999999272</v>
      </c>
      <c r="AH878" s="99">
        <v>672.5</v>
      </c>
      <c r="AI878" s="100">
        <f t="shared" si="515"/>
        <v>2792758</v>
      </c>
      <c r="AJ878" s="100">
        <f>(0*AH878)*2</f>
        <v>0</v>
      </c>
      <c r="AK878" s="100">
        <v>0</v>
      </c>
      <c r="AL878" s="100">
        <v>24290</v>
      </c>
      <c r="AM878" s="100">
        <v>0</v>
      </c>
      <c r="AN878" s="100">
        <v>0</v>
      </c>
      <c r="AO878" s="100">
        <v>0</v>
      </c>
      <c r="AP878" s="100">
        <f t="shared" si="516"/>
        <v>140853</v>
      </c>
      <c r="AQ878" s="101">
        <f t="shared" si="528"/>
        <v>2957901</v>
      </c>
      <c r="AR878" s="101">
        <v>0</v>
      </c>
      <c r="AS878" s="101">
        <v>0</v>
      </c>
      <c r="AT878" s="102" t="s">
        <v>33</v>
      </c>
      <c r="AU878" s="109">
        <v>21</v>
      </c>
      <c r="AV878" s="100">
        <f>53.57-36.07</f>
        <v>17.5</v>
      </c>
      <c r="AW878" s="105">
        <v>0</v>
      </c>
      <c r="AX878" s="216">
        <f t="shared" si="531"/>
        <v>0.2126276247351167</v>
      </c>
      <c r="AY878" s="217">
        <f t="shared" si="532"/>
        <v>5939</v>
      </c>
      <c r="AZ878" s="107"/>
      <c r="BA878" s="94">
        <v>45635.864583333336</v>
      </c>
      <c r="BB878" s="94">
        <v>45635.868055555555</v>
      </c>
      <c r="BC878" s="94">
        <v>45635.868055555555</v>
      </c>
      <c r="BD878" s="94">
        <v>45635.989583333336</v>
      </c>
      <c r="BE878" s="95">
        <f t="shared" si="533"/>
        <v>0.125</v>
      </c>
      <c r="BF878" s="95">
        <v>0</v>
      </c>
      <c r="BG878" s="95">
        <v>0</v>
      </c>
      <c r="BH878" s="95">
        <f t="shared" si="534"/>
        <v>3.4722222189884633E-3</v>
      </c>
      <c r="BI878" s="95">
        <f t="shared" si="534"/>
        <v>0</v>
      </c>
      <c r="BJ878" s="95">
        <f t="shared" si="534"/>
        <v>0.12152777778101154</v>
      </c>
      <c r="BK878" s="95">
        <f t="shared" si="535"/>
        <v>0.12152777778101154</v>
      </c>
      <c r="BL878" s="95">
        <f t="shared" si="536"/>
        <v>0.12152777778101154</v>
      </c>
      <c r="BM878" s="95" t="str">
        <f t="shared" si="537"/>
        <v>00:00</v>
      </c>
      <c r="BN878" s="110"/>
    </row>
    <row r="879" spans="1:66" s="8" customFormat="1" ht="12.75" customHeight="1" x14ac:dyDescent="0.25">
      <c r="A879" s="150">
        <v>805</v>
      </c>
      <c r="B879" s="150">
        <v>31</v>
      </c>
      <c r="C879" s="90">
        <v>13</v>
      </c>
      <c r="D879" s="111" t="s">
        <v>148</v>
      </c>
      <c r="E879" s="210" t="s">
        <v>983</v>
      </c>
      <c r="F879" s="150" t="s">
        <v>16</v>
      </c>
      <c r="G879" s="150" t="s">
        <v>17</v>
      </c>
      <c r="H879" s="150" t="s">
        <v>150</v>
      </c>
      <c r="I879" s="150" t="s">
        <v>389</v>
      </c>
      <c r="J879" s="151">
        <v>45635</v>
      </c>
      <c r="K879" s="135" t="s">
        <v>122</v>
      </c>
      <c r="L879" s="135">
        <v>461000594</v>
      </c>
      <c r="M879" s="151">
        <v>45636</v>
      </c>
      <c r="N879" s="152">
        <v>45636.145833333336</v>
      </c>
      <c r="O879" s="152">
        <v>45636.145833333336</v>
      </c>
      <c r="P879" s="152">
        <v>45636.149305555555</v>
      </c>
      <c r="Q879" s="152">
        <v>45636.322916666664</v>
      </c>
      <c r="R879" s="152" t="s">
        <v>118</v>
      </c>
      <c r="S879" s="152" t="s">
        <v>118</v>
      </c>
      <c r="T879" s="152">
        <v>45636.354166666664</v>
      </c>
      <c r="U879" s="152">
        <v>45636.444444444445</v>
      </c>
      <c r="V879" s="219">
        <f t="shared" si="529"/>
        <v>0.17708333332848269</v>
      </c>
      <c r="W879" s="203">
        <v>0.20833333333333334</v>
      </c>
      <c r="X879" s="219" t="str">
        <f t="shared" si="530"/>
        <v>00:00</v>
      </c>
      <c r="Y879" s="96">
        <v>0</v>
      </c>
      <c r="Z879" s="96">
        <v>59</v>
      </c>
      <c r="AA879" s="96">
        <f t="shared" si="511"/>
        <v>59</v>
      </c>
      <c r="AB879" s="97">
        <f t="shared" si="512"/>
        <v>0</v>
      </c>
      <c r="AC879" s="97">
        <f t="shared" si="513"/>
        <v>4076.92</v>
      </c>
      <c r="AD879" s="98">
        <v>4076.92</v>
      </c>
      <c r="AE879" s="98">
        <v>4109.5</v>
      </c>
      <c r="AF879" s="98">
        <v>4120.6000000000004</v>
      </c>
      <c r="AG879" s="98">
        <f t="shared" si="514"/>
        <v>43.680000000000291</v>
      </c>
      <c r="AH879" s="99">
        <v>672.5</v>
      </c>
      <c r="AI879" s="100">
        <f t="shared" si="515"/>
        <v>2771103.5000000005</v>
      </c>
      <c r="AJ879" s="100">
        <f>(0.6*AH879)*2</f>
        <v>807</v>
      </c>
      <c r="AK879" s="100">
        <v>0</v>
      </c>
      <c r="AL879" s="100">
        <v>0</v>
      </c>
      <c r="AM879" s="100">
        <v>0</v>
      </c>
      <c r="AN879" s="100">
        <v>0</v>
      </c>
      <c r="AO879" s="100">
        <v>0</v>
      </c>
      <c r="AP879" s="100">
        <f t="shared" si="516"/>
        <v>138596</v>
      </c>
      <c r="AQ879" s="101">
        <f t="shared" si="528"/>
        <v>2910507</v>
      </c>
      <c r="AR879" s="101">
        <v>0</v>
      </c>
      <c r="AS879" s="101">
        <v>0</v>
      </c>
      <c r="AT879" s="102" t="s">
        <v>33</v>
      </c>
      <c r="AU879" s="109" t="s">
        <v>118</v>
      </c>
      <c r="AV879" s="100">
        <v>0</v>
      </c>
      <c r="AW879" s="105">
        <v>0</v>
      </c>
      <c r="AX879" s="216">
        <f t="shared" si="531"/>
        <v>1.0600398000291289</v>
      </c>
      <c r="AY879" s="217">
        <f t="shared" si="532"/>
        <v>29375</v>
      </c>
      <c r="AZ879" s="107"/>
      <c r="BA879" s="94">
        <v>45636.145833333336</v>
      </c>
      <c r="BB879" s="94">
        <v>45636.149305555555</v>
      </c>
      <c r="BC879" s="94">
        <v>45636.149305555555</v>
      </c>
      <c r="BD879" s="94">
        <v>45636.29791666667</v>
      </c>
      <c r="BE879" s="95">
        <f t="shared" si="533"/>
        <v>0.15208333333430346</v>
      </c>
      <c r="BF879" s="95">
        <v>0</v>
      </c>
      <c r="BG879" s="95">
        <v>1.1111111111111112E-2</v>
      </c>
      <c r="BH879" s="95">
        <f t="shared" si="534"/>
        <v>3.4722222189884633E-3</v>
      </c>
      <c r="BI879" s="95">
        <f t="shared" si="534"/>
        <v>0</v>
      </c>
      <c r="BJ879" s="95">
        <f t="shared" si="534"/>
        <v>0.148611111115315</v>
      </c>
      <c r="BK879" s="95">
        <f t="shared" si="535"/>
        <v>0.148611111115315</v>
      </c>
      <c r="BL879" s="95">
        <f t="shared" si="536"/>
        <v>0.1375000000042039</v>
      </c>
      <c r="BM879" s="95" t="str">
        <f t="shared" si="537"/>
        <v>00:00</v>
      </c>
      <c r="BN879" s="110"/>
    </row>
    <row r="880" spans="1:66" s="8" customFormat="1" ht="12.75" customHeight="1" x14ac:dyDescent="0.25">
      <c r="A880" s="150">
        <v>806</v>
      </c>
      <c r="B880" s="150">
        <v>32</v>
      </c>
      <c r="C880" s="90">
        <v>3</v>
      </c>
      <c r="D880" s="111" t="s">
        <v>113</v>
      </c>
      <c r="E880" s="210" t="s">
        <v>991</v>
      </c>
      <c r="F880" s="150" t="s">
        <v>27</v>
      </c>
      <c r="G880" s="150" t="s">
        <v>12</v>
      </c>
      <c r="H880" s="150" t="s">
        <v>115</v>
      </c>
      <c r="I880" s="150" t="s">
        <v>999</v>
      </c>
      <c r="J880" s="151">
        <v>45636</v>
      </c>
      <c r="K880" s="135" t="s">
        <v>117</v>
      </c>
      <c r="L880" s="135">
        <v>282001072</v>
      </c>
      <c r="M880" s="151">
        <v>45637</v>
      </c>
      <c r="N880" s="152">
        <v>45636.326388888891</v>
      </c>
      <c r="O880" s="152">
        <v>45636.326388888891</v>
      </c>
      <c r="P880" s="152">
        <v>45636.329861111109</v>
      </c>
      <c r="Q880" s="152">
        <v>45636.479166666664</v>
      </c>
      <c r="R880" s="152" t="s">
        <v>118</v>
      </c>
      <c r="S880" s="152" t="s">
        <v>118</v>
      </c>
      <c r="T880" s="152">
        <v>45636.5625</v>
      </c>
      <c r="U880" s="152">
        <v>45636.634722222225</v>
      </c>
      <c r="V880" s="219">
        <f t="shared" si="529"/>
        <v>0.15277777777373558</v>
      </c>
      <c r="W880" s="203">
        <v>0.20833333333333334</v>
      </c>
      <c r="X880" s="219" t="str">
        <f t="shared" si="530"/>
        <v>00:00</v>
      </c>
      <c r="Y880" s="96">
        <v>0</v>
      </c>
      <c r="Z880" s="96">
        <v>58</v>
      </c>
      <c r="AA880" s="96">
        <f t="shared" si="511"/>
        <v>58</v>
      </c>
      <c r="AB880" s="97">
        <f t="shared" si="512"/>
        <v>0</v>
      </c>
      <c r="AC880" s="97">
        <f t="shared" si="513"/>
        <v>3969</v>
      </c>
      <c r="AD880" s="98">
        <v>3969</v>
      </c>
      <c r="AE880" s="98">
        <v>4060</v>
      </c>
      <c r="AF880" s="98">
        <v>4061</v>
      </c>
      <c r="AG880" s="98">
        <f t="shared" si="514"/>
        <v>92</v>
      </c>
      <c r="AH880" s="99">
        <v>1586.7</v>
      </c>
      <c r="AI880" s="100">
        <f t="shared" si="515"/>
        <v>6443588.7000000002</v>
      </c>
      <c r="AJ880" s="100">
        <f>(0.4*AH880)*2</f>
        <v>1269.3600000000001</v>
      </c>
      <c r="AK880" s="100">
        <v>0</v>
      </c>
      <c r="AL880" s="100">
        <v>0</v>
      </c>
      <c r="AM880" s="100">
        <v>0</v>
      </c>
      <c r="AN880" s="100">
        <v>0</v>
      </c>
      <c r="AO880" s="100">
        <f>IFERROR(AF880*20+(((AJ880/AH880)/2)*20),0)</f>
        <v>81228</v>
      </c>
      <c r="AP880" s="100">
        <f t="shared" si="516"/>
        <v>326305</v>
      </c>
      <c r="AQ880" s="101">
        <f t="shared" si="528"/>
        <v>6852392</v>
      </c>
      <c r="AR880" s="101">
        <v>0</v>
      </c>
      <c r="AS880" s="101">
        <v>0</v>
      </c>
      <c r="AT880" s="102" t="s">
        <v>33</v>
      </c>
      <c r="AU880" s="109" t="s">
        <v>118</v>
      </c>
      <c r="AV880" s="100">
        <v>0</v>
      </c>
      <c r="AW880" s="105">
        <v>0</v>
      </c>
      <c r="AX880" s="216">
        <f t="shared" si="531"/>
        <v>2.2654518591479929</v>
      </c>
      <c r="AY880" s="217">
        <f t="shared" si="532"/>
        <v>145977</v>
      </c>
      <c r="AZ880" s="107"/>
      <c r="BA880" s="94">
        <v>45636.326388888891</v>
      </c>
      <c r="BB880" s="94">
        <v>45636.329861111109</v>
      </c>
      <c r="BC880" s="94">
        <v>45636.336805555555</v>
      </c>
      <c r="BD880" s="94">
        <v>45636.461805555555</v>
      </c>
      <c r="BE880" s="95">
        <f t="shared" si="533"/>
        <v>0.13541666666424135</v>
      </c>
      <c r="BF880" s="95">
        <v>0</v>
      </c>
      <c r="BG880" s="95">
        <v>6.9444444444444441E-3</v>
      </c>
      <c r="BH880" s="95">
        <f t="shared" si="534"/>
        <v>3.4722222189884633E-3</v>
      </c>
      <c r="BI880" s="95">
        <f t="shared" si="534"/>
        <v>6.9444444452528842E-3</v>
      </c>
      <c r="BJ880" s="95">
        <f t="shared" si="534"/>
        <v>0.125</v>
      </c>
      <c r="BK880" s="95">
        <f t="shared" si="535"/>
        <v>0.13194444444525288</v>
      </c>
      <c r="BL880" s="95">
        <f t="shared" si="536"/>
        <v>0.12500000000080844</v>
      </c>
      <c r="BM880" s="95" t="str">
        <f t="shared" si="537"/>
        <v>00:00</v>
      </c>
      <c r="BN880" s="110"/>
    </row>
    <row r="881" spans="1:66" s="8" customFormat="1" ht="12.75" customHeight="1" x14ac:dyDescent="0.25">
      <c r="A881" s="150">
        <v>807</v>
      </c>
      <c r="B881" s="150">
        <v>33</v>
      </c>
      <c r="C881" s="90">
        <v>1</v>
      </c>
      <c r="D881" s="111" t="s">
        <v>148</v>
      </c>
      <c r="E881" s="210" t="s">
        <v>1000</v>
      </c>
      <c r="F881" s="150" t="s">
        <v>19</v>
      </c>
      <c r="G881" s="150" t="s">
        <v>17</v>
      </c>
      <c r="H881" s="150" t="s">
        <v>150</v>
      </c>
      <c r="I881" s="150" t="s">
        <v>395</v>
      </c>
      <c r="J881" s="151">
        <v>45635</v>
      </c>
      <c r="K881" s="135" t="s">
        <v>122</v>
      </c>
      <c r="L881" s="135">
        <v>461000595</v>
      </c>
      <c r="M881" s="151">
        <v>45636</v>
      </c>
      <c r="N881" s="152">
        <v>45636.583333333336</v>
      </c>
      <c r="O881" s="152">
        <v>45636.583333333336</v>
      </c>
      <c r="P881" s="152">
        <v>45636.597222222219</v>
      </c>
      <c r="Q881" s="152">
        <v>45636.729166666664</v>
      </c>
      <c r="R881" s="152" t="s">
        <v>118</v>
      </c>
      <c r="S881" s="152" t="s">
        <v>118</v>
      </c>
      <c r="T881" s="152">
        <v>45636.736111111109</v>
      </c>
      <c r="U881" s="152">
        <v>45636.833333333336</v>
      </c>
      <c r="V881" s="219">
        <f t="shared" si="529"/>
        <v>0.14583333332848269</v>
      </c>
      <c r="W881" s="203">
        <v>0.20833333333333334</v>
      </c>
      <c r="X881" s="219" t="str">
        <f t="shared" si="530"/>
        <v>00:00</v>
      </c>
      <c r="Y881" s="96">
        <v>0</v>
      </c>
      <c r="Z881" s="96">
        <v>59</v>
      </c>
      <c r="AA881" s="96">
        <f t="shared" si="511"/>
        <v>59</v>
      </c>
      <c r="AB881" s="97">
        <f t="shared" si="512"/>
        <v>0</v>
      </c>
      <c r="AC881" s="97">
        <f t="shared" si="513"/>
        <v>4084.0299999999997</v>
      </c>
      <c r="AD881" s="98">
        <v>4084.03</v>
      </c>
      <c r="AE881" s="98">
        <v>4104.3999999999996</v>
      </c>
      <c r="AF881" s="98">
        <v>4115.2</v>
      </c>
      <c r="AG881" s="98">
        <f t="shared" si="514"/>
        <v>31.169999999999618</v>
      </c>
      <c r="AH881" s="99">
        <v>672.5</v>
      </c>
      <c r="AI881" s="100">
        <f t="shared" si="515"/>
        <v>2767472</v>
      </c>
      <c r="AJ881" s="100">
        <f>(0*AH881)*2</f>
        <v>0</v>
      </c>
      <c r="AK881" s="100">
        <v>0</v>
      </c>
      <c r="AL881" s="100">
        <v>24290</v>
      </c>
      <c r="AM881" s="100">
        <v>0</v>
      </c>
      <c r="AN881" s="100">
        <v>0</v>
      </c>
      <c r="AO881" s="100">
        <v>0</v>
      </c>
      <c r="AP881" s="100">
        <f t="shared" si="516"/>
        <v>139589</v>
      </c>
      <c r="AQ881" s="101">
        <f t="shared" si="528"/>
        <v>2931351</v>
      </c>
      <c r="AR881" s="101">
        <v>0</v>
      </c>
      <c r="AS881" s="101">
        <v>0</v>
      </c>
      <c r="AT881" s="102" t="s">
        <v>33</v>
      </c>
      <c r="AU881" s="109">
        <v>6</v>
      </c>
      <c r="AV881" s="100">
        <f>12.87-9.37</f>
        <v>3.5</v>
      </c>
      <c r="AW881" s="105">
        <v>0</v>
      </c>
      <c r="AX881" s="216">
        <f t="shared" si="531"/>
        <v>0.75743584758941529</v>
      </c>
      <c r="AY881" s="217">
        <f t="shared" si="532"/>
        <v>20962</v>
      </c>
      <c r="AZ881" s="107"/>
      <c r="BA881" s="94">
        <v>45636.583333333336</v>
      </c>
      <c r="BB881" s="94">
        <v>45636.597222222219</v>
      </c>
      <c r="BC881" s="94">
        <v>45636.597222222219</v>
      </c>
      <c r="BD881" s="94">
        <v>45636.713194444441</v>
      </c>
      <c r="BE881" s="95">
        <f t="shared" si="533"/>
        <v>0.12986111110512866</v>
      </c>
      <c r="BF881" s="95">
        <v>0</v>
      </c>
      <c r="BG881" s="95">
        <v>0</v>
      </c>
      <c r="BH881" s="95">
        <f t="shared" si="534"/>
        <v>1.3888888883229811E-2</v>
      </c>
      <c r="BI881" s="95">
        <f t="shared" si="534"/>
        <v>0</v>
      </c>
      <c r="BJ881" s="95">
        <f t="shared" si="534"/>
        <v>0.11597222222189885</v>
      </c>
      <c r="BK881" s="95">
        <f t="shared" si="535"/>
        <v>0.11597222222189885</v>
      </c>
      <c r="BL881" s="95">
        <f t="shared" si="536"/>
        <v>0.11597222222189885</v>
      </c>
      <c r="BM881" s="95" t="str">
        <f t="shared" si="537"/>
        <v>00:00</v>
      </c>
      <c r="BN881" s="110"/>
    </row>
    <row r="882" spans="1:66" s="8" customFormat="1" ht="12.75" customHeight="1" x14ac:dyDescent="0.25">
      <c r="A882" s="150">
        <v>808</v>
      </c>
      <c r="B882" s="150">
        <v>34</v>
      </c>
      <c r="C882" s="90">
        <v>2</v>
      </c>
      <c r="D882" s="111" t="s">
        <v>148</v>
      </c>
      <c r="E882" s="210" t="s">
        <v>1000</v>
      </c>
      <c r="F882" s="150" t="s">
        <v>19</v>
      </c>
      <c r="G882" s="150" t="s">
        <v>17</v>
      </c>
      <c r="H882" s="150" t="s">
        <v>150</v>
      </c>
      <c r="I882" s="150" t="s">
        <v>396</v>
      </c>
      <c r="J882" s="151">
        <v>45635</v>
      </c>
      <c r="K882" s="135" t="s">
        <v>117</v>
      </c>
      <c r="L882" s="135">
        <v>461000596</v>
      </c>
      <c r="M882" s="151">
        <v>45637</v>
      </c>
      <c r="N882" s="152">
        <v>45636.71875</v>
      </c>
      <c r="O882" s="152">
        <v>45636.71875</v>
      </c>
      <c r="P882" s="152">
        <v>45636.722222222219</v>
      </c>
      <c r="Q882" s="152">
        <v>45636.895833333336</v>
      </c>
      <c r="R882" s="152" t="s">
        <v>118</v>
      </c>
      <c r="S882" s="152" t="s">
        <v>118</v>
      </c>
      <c r="T882" s="152">
        <v>45637.041666666664</v>
      </c>
      <c r="U882" s="152">
        <v>45637.173611111109</v>
      </c>
      <c r="V882" s="219">
        <f t="shared" si="529"/>
        <v>0.17708333333575865</v>
      </c>
      <c r="W882" s="203">
        <v>0.20833333333333334</v>
      </c>
      <c r="X882" s="219" t="str">
        <f t="shared" si="530"/>
        <v>00:00</v>
      </c>
      <c r="Y882" s="96">
        <v>0</v>
      </c>
      <c r="Z882" s="96">
        <v>58</v>
      </c>
      <c r="AA882" s="96">
        <f t="shared" si="511"/>
        <v>58</v>
      </c>
      <c r="AB882" s="97">
        <f t="shared" si="512"/>
        <v>0</v>
      </c>
      <c r="AC882" s="97">
        <f t="shared" si="513"/>
        <v>4022.9400000000005</v>
      </c>
      <c r="AD882" s="98">
        <v>4022.94</v>
      </c>
      <c r="AE882" s="98">
        <v>4021.7</v>
      </c>
      <c r="AF882" s="98">
        <v>4042.8</v>
      </c>
      <c r="AG882" s="98">
        <f t="shared" si="514"/>
        <v>19.860000000000127</v>
      </c>
      <c r="AH882" s="99">
        <v>672.5</v>
      </c>
      <c r="AI882" s="100">
        <f t="shared" si="515"/>
        <v>2718783</v>
      </c>
      <c r="AJ882" s="100">
        <f>(0*AH882)*2</f>
        <v>0</v>
      </c>
      <c r="AK882" s="100">
        <v>0</v>
      </c>
      <c r="AL882" s="100">
        <v>24140</v>
      </c>
      <c r="AM882" s="100">
        <v>0</v>
      </c>
      <c r="AN882" s="100">
        <v>0</v>
      </c>
      <c r="AO882" s="100">
        <v>0</v>
      </c>
      <c r="AP882" s="100">
        <f t="shared" si="516"/>
        <v>137147</v>
      </c>
      <c r="AQ882" s="101">
        <f t="shared" si="528"/>
        <v>2880070</v>
      </c>
      <c r="AR882" s="101">
        <v>0</v>
      </c>
      <c r="AS882" s="101">
        <v>0</v>
      </c>
      <c r="AT882" s="102" t="s">
        <v>33</v>
      </c>
      <c r="AU882" s="109">
        <v>11</v>
      </c>
      <c r="AV882" s="100">
        <f>25.31-18.81</f>
        <v>6.5</v>
      </c>
      <c r="AW882" s="105">
        <v>0</v>
      </c>
      <c r="AX882" s="216">
        <f t="shared" si="531"/>
        <v>0.49124369249035638</v>
      </c>
      <c r="AY882" s="217">
        <f t="shared" si="532"/>
        <v>13356</v>
      </c>
      <c r="AZ882" s="107"/>
      <c r="BA882" s="94">
        <v>45636.71875</v>
      </c>
      <c r="BB882" s="94">
        <v>45636.722222222219</v>
      </c>
      <c r="BC882" s="94">
        <v>45636.722222222219</v>
      </c>
      <c r="BD882" s="94">
        <v>45636.838888888888</v>
      </c>
      <c r="BE882" s="95">
        <f t="shared" si="533"/>
        <v>0.12013888888759539</v>
      </c>
      <c r="BF882" s="95">
        <v>0</v>
      </c>
      <c r="BG882" s="95">
        <v>0</v>
      </c>
      <c r="BH882" s="95">
        <f t="shared" si="534"/>
        <v>3.4722222189884633E-3</v>
      </c>
      <c r="BI882" s="95">
        <f t="shared" si="534"/>
        <v>0</v>
      </c>
      <c r="BJ882" s="95">
        <f t="shared" si="534"/>
        <v>0.11666666666860692</v>
      </c>
      <c r="BK882" s="95">
        <f t="shared" si="535"/>
        <v>0.11666666666860692</v>
      </c>
      <c r="BL882" s="95">
        <f t="shared" si="536"/>
        <v>0.11666666666860692</v>
      </c>
      <c r="BM882" s="95" t="str">
        <f t="shared" si="537"/>
        <v>00:00</v>
      </c>
      <c r="BN882" s="110"/>
    </row>
    <row r="883" spans="1:66" s="8" customFormat="1" ht="12.75" customHeight="1" x14ac:dyDescent="0.25">
      <c r="A883" s="150">
        <v>809</v>
      </c>
      <c r="B883" s="150">
        <v>35</v>
      </c>
      <c r="C883" s="90">
        <v>3</v>
      </c>
      <c r="D883" s="111" t="s">
        <v>148</v>
      </c>
      <c r="E883" s="210" t="s">
        <v>1000</v>
      </c>
      <c r="F883" s="150" t="s">
        <v>19</v>
      </c>
      <c r="G883" s="150" t="s">
        <v>17</v>
      </c>
      <c r="H883" s="150" t="s">
        <v>150</v>
      </c>
      <c r="I883" s="150" t="s">
        <v>398</v>
      </c>
      <c r="J883" s="151">
        <v>45635</v>
      </c>
      <c r="K883" s="135" t="s">
        <v>122</v>
      </c>
      <c r="L883" s="135">
        <v>461000597</v>
      </c>
      <c r="M883" s="151">
        <v>45637</v>
      </c>
      <c r="N883" s="152">
        <v>45637.09375</v>
      </c>
      <c r="O883" s="152">
        <v>45637.09375</v>
      </c>
      <c r="P883" s="152">
        <v>45637.097222222219</v>
      </c>
      <c r="Q883" s="152">
        <v>45637.28125</v>
      </c>
      <c r="R883" s="152" t="s">
        <v>118</v>
      </c>
      <c r="S883" s="152" t="s">
        <v>118</v>
      </c>
      <c r="T883" s="152">
        <v>45637.458333333336</v>
      </c>
      <c r="U883" s="152">
        <v>45637.585416666669</v>
      </c>
      <c r="V883" s="219">
        <f t="shared" si="529"/>
        <v>0.1875</v>
      </c>
      <c r="W883" s="203">
        <v>0.20833333333333334</v>
      </c>
      <c r="X883" s="219" t="str">
        <f t="shared" si="530"/>
        <v>00:00</v>
      </c>
      <c r="Y883" s="96">
        <v>0</v>
      </c>
      <c r="Z883" s="96">
        <v>58</v>
      </c>
      <c r="AA883" s="96">
        <f t="shared" si="511"/>
        <v>58</v>
      </c>
      <c r="AB883" s="97">
        <f t="shared" si="512"/>
        <v>0</v>
      </c>
      <c r="AC883" s="97">
        <f t="shared" si="513"/>
        <v>4022.34</v>
      </c>
      <c r="AD883" s="98">
        <v>4022.34</v>
      </c>
      <c r="AE883" s="98">
        <v>4053.6</v>
      </c>
      <c r="AF883" s="98">
        <v>4062.4</v>
      </c>
      <c r="AG883" s="98">
        <f t="shared" si="514"/>
        <v>40.059999999999945</v>
      </c>
      <c r="AH883" s="99">
        <v>672.5</v>
      </c>
      <c r="AI883" s="100">
        <f t="shared" si="515"/>
        <v>2731964</v>
      </c>
      <c r="AJ883" s="100">
        <f>(1*AH883)*2</f>
        <v>1345</v>
      </c>
      <c r="AK883" s="100">
        <v>0</v>
      </c>
      <c r="AL883" s="100">
        <v>0</v>
      </c>
      <c r="AM883" s="100">
        <v>0</v>
      </c>
      <c r="AN883" s="100">
        <v>0</v>
      </c>
      <c r="AO883" s="100">
        <v>0</v>
      </c>
      <c r="AP883" s="100">
        <f t="shared" si="516"/>
        <v>136666</v>
      </c>
      <c r="AQ883" s="101">
        <f t="shared" si="528"/>
        <v>2869975</v>
      </c>
      <c r="AR883" s="101">
        <v>0</v>
      </c>
      <c r="AS883" s="101">
        <v>0</v>
      </c>
      <c r="AT883" s="102" t="s">
        <v>33</v>
      </c>
      <c r="AU883" s="109" t="s">
        <v>118</v>
      </c>
      <c r="AV883" s="100">
        <v>0</v>
      </c>
      <c r="AW883" s="105">
        <v>0</v>
      </c>
      <c r="AX883" s="216">
        <f t="shared" si="531"/>
        <v>0.98611658133123137</v>
      </c>
      <c r="AY883" s="217">
        <f t="shared" si="532"/>
        <v>26941</v>
      </c>
      <c r="AZ883" s="107"/>
      <c r="BA883" s="94">
        <v>45637.086805555555</v>
      </c>
      <c r="BB883" s="94">
        <v>45637.090277777781</v>
      </c>
      <c r="BC883" s="94">
        <v>45637.090277777781</v>
      </c>
      <c r="BD883" s="94">
        <v>45637.197916666664</v>
      </c>
      <c r="BE883" s="95">
        <f t="shared" si="533"/>
        <v>0.11111111110949423</v>
      </c>
      <c r="BF883" s="95">
        <v>0</v>
      </c>
      <c r="BG883" s="95">
        <v>0</v>
      </c>
      <c r="BH883" s="95">
        <f t="shared" si="534"/>
        <v>3.4722222262644209E-3</v>
      </c>
      <c r="BI883" s="95">
        <f t="shared" si="534"/>
        <v>0</v>
      </c>
      <c r="BJ883" s="95">
        <f t="shared" si="534"/>
        <v>0.10763888888322981</v>
      </c>
      <c r="BK883" s="95">
        <f t="shared" si="535"/>
        <v>0.10763888888322981</v>
      </c>
      <c r="BL883" s="95">
        <f t="shared" si="536"/>
        <v>0.10763888888322981</v>
      </c>
      <c r="BM883" s="95" t="str">
        <f t="shared" si="537"/>
        <v>00:00</v>
      </c>
      <c r="BN883" s="110"/>
    </row>
    <row r="884" spans="1:66" s="8" customFormat="1" ht="12.75" customHeight="1" x14ac:dyDescent="0.25">
      <c r="A884" s="150">
        <v>810</v>
      </c>
      <c r="B884" s="150">
        <v>36</v>
      </c>
      <c r="C884" s="90">
        <v>2</v>
      </c>
      <c r="D884" s="111" t="s">
        <v>113</v>
      </c>
      <c r="E884" s="210" t="s">
        <v>996</v>
      </c>
      <c r="F884" s="150" t="s">
        <v>29</v>
      </c>
      <c r="G884" s="150" t="s">
        <v>15</v>
      </c>
      <c r="H884" s="150" t="s">
        <v>124</v>
      </c>
      <c r="I884" s="150" t="s">
        <v>1001</v>
      </c>
      <c r="J884" s="151">
        <v>45636</v>
      </c>
      <c r="K884" s="135" t="s">
        <v>117</v>
      </c>
      <c r="L884" s="135">
        <v>461000598</v>
      </c>
      <c r="M884" s="151">
        <v>45637</v>
      </c>
      <c r="N884" s="152">
        <v>45637.5</v>
      </c>
      <c r="O884" s="152">
        <v>45637.5</v>
      </c>
      <c r="P884" s="152">
        <v>45637.53125</v>
      </c>
      <c r="Q884" s="152">
        <v>45637.708333333336</v>
      </c>
      <c r="R884" s="152" t="s">
        <v>118</v>
      </c>
      <c r="S884" s="152" t="s">
        <v>118</v>
      </c>
      <c r="T884" s="152">
        <v>45637.729166666664</v>
      </c>
      <c r="U884" s="152">
        <v>45637.824305555558</v>
      </c>
      <c r="V884" s="219">
        <f t="shared" si="529"/>
        <v>0.20833333333575865</v>
      </c>
      <c r="W884" s="203">
        <v>0.20833333333333334</v>
      </c>
      <c r="X884" s="219">
        <f t="shared" si="530"/>
        <v>2.4253099528692701E-12</v>
      </c>
      <c r="Y884" s="96">
        <v>3</v>
      </c>
      <c r="Z884" s="96">
        <v>55</v>
      </c>
      <c r="AA884" s="96">
        <f t="shared" si="511"/>
        <v>58</v>
      </c>
      <c r="AB884" s="97">
        <f t="shared" si="512"/>
        <v>200.39741379310345</v>
      </c>
      <c r="AC884" s="97">
        <f t="shared" si="513"/>
        <v>3673.9525862068963</v>
      </c>
      <c r="AD884" s="98">
        <v>3874.35</v>
      </c>
      <c r="AE884" s="98">
        <v>4036.3</v>
      </c>
      <c r="AF884" s="98">
        <v>4036.4</v>
      </c>
      <c r="AG884" s="98">
        <f t="shared" si="514"/>
        <v>162.05000000000018</v>
      </c>
      <c r="AH884" s="99">
        <v>797.2</v>
      </c>
      <c r="AI884" s="100">
        <f t="shared" si="515"/>
        <v>3217818.08</v>
      </c>
      <c r="AJ884" s="100">
        <f>(0*AH884)*2</f>
        <v>0</v>
      </c>
      <c r="AK884" s="100">
        <v>0</v>
      </c>
      <c r="AL884" s="100">
        <v>0</v>
      </c>
      <c r="AM884" s="100">
        <v>0</v>
      </c>
      <c r="AN884" s="100">
        <v>0</v>
      </c>
      <c r="AO884" s="100">
        <v>0</v>
      </c>
      <c r="AP884" s="100">
        <f t="shared" si="516"/>
        <v>160891</v>
      </c>
      <c r="AQ884" s="101">
        <f t="shared" si="528"/>
        <v>3378710</v>
      </c>
      <c r="AR884" s="101">
        <v>0</v>
      </c>
      <c r="AS884" s="101">
        <v>0</v>
      </c>
      <c r="AT884" s="102" t="s">
        <v>33</v>
      </c>
      <c r="AU884" s="109" t="s">
        <v>118</v>
      </c>
      <c r="AV884" s="100">
        <v>0</v>
      </c>
      <c r="AW884" s="105">
        <v>0</v>
      </c>
      <c r="AX884" s="216">
        <f t="shared" si="531"/>
        <v>4.0147160836388904</v>
      </c>
      <c r="AY884" s="217">
        <f t="shared" si="532"/>
        <v>129187</v>
      </c>
      <c r="AZ884" s="107"/>
      <c r="BA884" s="94">
        <v>45637.5</v>
      </c>
      <c r="BB884" s="94">
        <v>45637.53125</v>
      </c>
      <c r="BC884" s="94">
        <v>45637.53125</v>
      </c>
      <c r="BD884" s="94">
        <v>45637.715277777781</v>
      </c>
      <c r="BE884" s="95">
        <f t="shared" si="533"/>
        <v>0.21527777778101154</v>
      </c>
      <c r="BF884" s="95">
        <v>2.5694444444444443E-2</v>
      </c>
      <c r="BG884" s="95">
        <v>5.6250000000000001E-2</v>
      </c>
      <c r="BH884" s="95">
        <f t="shared" si="534"/>
        <v>3.125E-2</v>
      </c>
      <c r="BI884" s="95">
        <f t="shared" si="534"/>
        <v>0</v>
      </c>
      <c r="BJ884" s="95">
        <f t="shared" si="534"/>
        <v>0.18402777778101154</v>
      </c>
      <c r="BK884" s="95">
        <f t="shared" si="535"/>
        <v>0.18402777778101154</v>
      </c>
      <c r="BL884" s="95">
        <f t="shared" si="536"/>
        <v>0.10208333333656711</v>
      </c>
      <c r="BM884" s="95">
        <f t="shared" si="537"/>
        <v>6.9444444476781941E-3</v>
      </c>
      <c r="BN884" s="110"/>
    </row>
    <row r="885" spans="1:66" s="8" customFormat="1" ht="12.75" customHeight="1" x14ac:dyDescent="0.25">
      <c r="A885" s="150">
        <v>811</v>
      </c>
      <c r="B885" s="150">
        <v>37</v>
      </c>
      <c r="C885" s="90">
        <v>7</v>
      </c>
      <c r="D885" s="111" t="s">
        <v>113</v>
      </c>
      <c r="E885" s="210" t="s">
        <v>956</v>
      </c>
      <c r="F885" s="150" t="s">
        <v>41</v>
      </c>
      <c r="G885" s="150" t="s">
        <v>12</v>
      </c>
      <c r="H885" s="150" t="s">
        <v>115</v>
      </c>
      <c r="I885" s="150" t="s">
        <v>1002</v>
      </c>
      <c r="J885" s="151">
        <v>45637</v>
      </c>
      <c r="K885" s="135" t="s">
        <v>122</v>
      </c>
      <c r="L885" s="135">
        <v>282001074</v>
      </c>
      <c r="M885" s="151">
        <v>45638</v>
      </c>
      <c r="N885" s="152">
        <v>45637.708333333336</v>
      </c>
      <c r="O885" s="152">
        <v>45637.708333333336</v>
      </c>
      <c r="P885" s="152">
        <v>45637.729166666664</v>
      </c>
      <c r="Q885" s="152">
        <v>45637.916666666664</v>
      </c>
      <c r="R885" s="152" t="s">
        <v>118</v>
      </c>
      <c r="S885" s="152">
        <v>45637.947916666664</v>
      </c>
      <c r="T885" s="152">
        <v>45638.145833333336</v>
      </c>
      <c r="U885" s="152">
        <v>45638.247916666667</v>
      </c>
      <c r="V885" s="219">
        <f t="shared" si="529"/>
        <v>0.20833333332848269</v>
      </c>
      <c r="W885" s="203">
        <v>0.20833333333333334</v>
      </c>
      <c r="X885" s="219" t="str">
        <f t="shared" si="530"/>
        <v>00:00</v>
      </c>
      <c r="Y885" s="96">
        <v>0</v>
      </c>
      <c r="Z885" s="96">
        <v>59</v>
      </c>
      <c r="AA885" s="96">
        <f t="shared" si="511"/>
        <v>59</v>
      </c>
      <c r="AB885" s="97">
        <f t="shared" si="512"/>
        <v>0</v>
      </c>
      <c r="AC885" s="97">
        <f t="shared" si="513"/>
        <v>3935.3800000000006</v>
      </c>
      <c r="AD885" s="98">
        <v>3935.38</v>
      </c>
      <c r="AE885" s="98">
        <v>4107.8999999999996</v>
      </c>
      <c r="AF885" s="98">
        <v>4110</v>
      </c>
      <c r="AG885" s="98">
        <f t="shared" si="514"/>
        <v>174.61999999999989</v>
      </c>
      <c r="AH885" s="99">
        <v>1586.7</v>
      </c>
      <c r="AI885" s="100">
        <f t="shared" si="515"/>
        <v>6521337</v>
      </c>
      <c r="AJ885" s="100">
        <f>(0.2*AH885)*2</f>
        <v>634.68000000000006</v>
      </c>
      <c r="AK885" s="100">
        <v>0</v>
      </c>
      <c r="AL885" s="100">
        <v>0</v>
      </c>
      <c r="AM885" s="100">
        <v>0</v>
      </c>
      <c r="AN885" s="100">
        <v>0</v>
      </c>
      <c r="AO885" s="100">
        <f>IFERROR(AF885*20+(((AJ885/AH885)/2)*20),0)</f>
        <v>82204</v>
      </c>
      <c r="AP885" s="100">
        <f t="shared" si="516"/>
        <v>330209</v>
      </c>
      <c r="AQ885" s="101">
        <f t="shared" si="528"/>
        <v>6934385</v>
      </c>
      <c r="AR885" s="101">
        <v>0</v>
      </c>
      <c r="AS885" s="101">
        <v>0</v>
      </c>
      <c r="AT885" s="102" t="s">
        <v>33</v>
      </c>
      <c r="AU885" s="109" t="s">
        <v>118</v>
      </c>
      <c r="AV885" s="100">
        <v>0</v>
      </c>
      <c r="AW885" s="105">
        <v>1</v>
      </c>
      <c r="AX885" s="216">
        <f t="shared" si="531"/>
        <v>4.248661800486615</v>
      </c>
      <c r="AY885" s="217">
        <f t="shared" si="532"/>
        <v>277070</v>
      </c>
      <c r="AZ885" s="107"/>
      <c r="BA885" s="94">
        <v>45637.708333333336</v>
      </c>
      <c r="BB885" s="94">
        <v>45637.729166666664</v>
      </c>
      <c r="BC885" s="94">
        <v>45637.755555555559</v>
      </c>
      <c r="BD885" s="94">
        <v>45637.938888888886</v>
      </c>
      <c r="BE885" s="95">
        <f t="shared" si="533"/>
        <v>0.23055555555038154</v>
      </c>
      <c r="BF885" s="95">
        <v>2.6388888888888889E-2</v>
      </c>
      <c r="BG885" s="95">
        <v>5.5555555555555552E-2</v>
      </c>
      <c r="BH885" s="95">
        <f t="shared" si="534"/>
        <v>2.0833333328482695E-2</v>
      </c>
      <c r="BI885" s="95">
        <f t="shared" si="534"/>
        <v>2.6388888894871343E-2</v>
      </c>
      <c r="BJ885" s="95">
        <f t="shared" si="534"/>
        <v>0.1833333333270275</v>
      </c>
      <c r="BK885" s="95">
        <f t="shared" si="535"/>
        <v>0.20972222222189885</v>
      </c>
      <c r="BL885" s="95">
        <f t="shared" si="536"/>
        <v>0.12777777777745442</v>
      </c>
      <c r="BM885" s="95">
        <f t="shared" si="537"/>
        <v>2.2222222217048199E-2</v>
      </c>
      <c r="BN885" s="110"/>
    </row>
    <row r="886" spans="1:66" s="8" customFormat="1" ht="12.75" customHeight="1" x14ac:dyDescent="0.25">
      <c r="A886" s="150">
        <v>812</v>
      </c>
      <c r="B886" s="150">
        <v>38</v>
      </c>
      <c r="C886" s="90">
        <v>4</v>
      </c>
      <c r="D886" s="111" t="s">
        <v>148</v>
      </c>
      <c r="E886" s="210" t="s">
        <v>1000</v>
      </c>
      <c r="F886" s="150" t="s">
        <v>19</v>
      </c>
      <c r="G886" s="150" t="s">
        <v>17</v>
      </c>
      <c r="H886" s="150" t="s">
        <v>150</v>
      </c>
      <c r="I886" s="150" t="s">
        <v>399</v>
      </c>
      <c r="J886" s="151">
        <v>45636</v>
      </c>
      <c r="K886" s="135" t="s">
        <v>117</v>
      </c>
      <c r="L886" s="135">
        <v>461000599</v>
      </c>
      <c r="M886" s="151">
        <v>45638</v>
      </c>
      <c r="N886" s="152">
        <v>45637.875</v>
      </c>
      <c r="O886" s="152">
        <v>45637.875</v>
      </c>
      <c r="P886" s="152">
        <v>45637.878472222219</v>
      </c>
      <c r="Q886" s="152">
        <v>45638.083333333336</v>
      </c>
      <c r="R886" s="152" t="s">
        <v>118</v>
      </c>
      <c r="S886" s="152" t="s">
        <v>118</v>
      </c>
      <c r="T886" s="152">
        <v>45638.291666666664</v>
      </c>
      <c r="U886" s="152">
        <v>45638.42083333333</v>
      </c>
      <c r="V886" s="219">
        <f t="shared" si="529"/>
        <v>0.20833333333575865</v>
      </c>
      <c r="W886" s="203">
        <v>0.20833333333333334</v>
      </c>
      <c r="X886" s="219">
        <f t="shared" si="530"/>
        <v>2.4253099528692701E-12</v>
      </c>
      <c r="Y886" s="96">
        <v>0</v>
      </c>
      <c r="Z886" s="96">
        <v>57</v>
      </c>
      <c r="AA886" s="96">
        <f t="shared" si="511"/>
        <v>57</v>
      </c>
      <c r="AB886" s="97">
        <f t="shared" si="512"/>
        <v>0</v>
      </c>
      <c r="AC886" s="97">
        <f t="shared" si="513"/>
        <v>3947.98</v>
      </c>
      <c r="AD886" s="98">
        <v>3947.98</v>
      </c>
      <c r="AE886" s="98">
        <v>3958.4</v>
      </c>
      <c r="AF886" s="98">
        <v>3976.6</v>
      </c>
      <c r="AG886" s="98">
        <f t="shared" si="514"/>
        <v>28.619999999999891</v>
      </c>
      <c r="AH886" s="99">
        <v>672.5</v>
      </c>
      <c r="AI886" s="100">
        <f t="shared" si="515"/>
        <v>2674263.5</v>
      </c>
      <c r="AJ886" s="100">
        <f>(2*AH886)*2</f>
        <v>2690</v>
      </c>
      <c r="AK886" s="100">
        <v>0</v>
      </c>
      <c r="AL886" s="100">
        <v>0</v>
      </c>
      <c r="AM886" s="100">
        <v>0</v>
      </c>
      <c r="AN886" s="100">
        <v>0</v>
      </c>
      <c r="AO886" s="100">
        <v>0</v>
      </c>
      <c r="AP886" s="100">
        <f t="shared" si="516"/>
        <v>133848</v>
      </c>
      <c r="AQ886" s="101">
        <f t="shared" si="528"/>
        <v>2810802</v>
      </c>
      <c r="AR886" s="101">
        <v>0</v>
      </c>
      <c r="AS886" s="101">
        <v>0</v>
      </c>
      <c r="AT886" s="102" t="s">
        <v>33</v>
      </c>
      <c r="AU886" s="109" t="s">
        <v>118</v>
      </c>
      <c r="AV886" s="100">
        <v>0</v>
      </c>
      <c r="AW886" s="105">
        <v>0</v>
      </c>
      <c r="AX886" s="216">
        <f t="shared" si="531"/>
        <v>0.71971030528591995</v>
      </c>
      <c r="AY886" s="217">
        <f t="shared" si="532"/>
        <v>19247</v>
      </c>
      <c r="AZ886" s="107"/>
      <c r="BA886" s="94">
        <v>45637.875</v>
      </c>
      <c r="BB886" s="94">
        <v>45637.878472222219</v>
      </c>
      <c r="BC886" s="94">
        <v>45637.965277777781</v>
      </c>
      <c r="BD886" s="94">
        <v>45638.083333333336</v>
      </c>
      <c r="BE886" s="95">
        <f t="shared" si="533"/>
        <v>0.20833333333575865</v>
      </c>
      <c r="BF886" s="95">
        <v>1.2500000000000001E-2</v>
      </c>
      <c r="BG886" s="95">
        <v>7.4305555555555555E-2</v>
      </c>
      <c r="BH886" s="95">
        <f t="shared" si="534"/>
        <v>3.4722222189884633E-3</v>
      </c>
      <c r="BI886" s="95">
        <f t="shared" si="534"/>
        <v>8.6805555562023073E-2</v>
      </c>
      <c r="BJ886" s="95">
        <f t="shared" si="534"/>
        <v>0.11805555555474712</v>
      </c>
      <c r="BK886" s="95">
        <f t="shared" si="535"/>
        <v>0.20486111111677019</v>
      </c>
      <c r="BL886" s="95">
        <f t="shared" si="536"/>
        <v>0.11805555556121462</v>
      </c>
      <c r="BM886" s="95">
        <f t="shared" si="537"/>
        <v>2.4253099528692701E-12</v>
      </c>
      <c r="BN886" s="110"/>
    </row>
    <row r="887" spans="1:66" s="8" customFormat="1" ht="12.75" customHeight="1" x14ac:dyDescent="0.25">
      <c r="A887" s="150">
        <v>813</v>
      </c>
      <c r="B887" s="150">
        <v>39</v>
      </c>
      <c r="C887" s="90">
        <v>5</v>
      </c>
      <c r="D887" s="111" t="s">
        <v>148</v>
      </c>
      <c r="E887" s="210" t="s">
        <v>1000</v>
      </c>
      <c r="F887" s="150" t="s">
        <v>19</v>
      </c>
      <c r="G887" s="150" t="s">
        <v>17</v>
      </c>
      <c r="H887" s="150" t="s">
        <v>150</v>
      </c>
      <c r="I887" s="150" t="s">
        <v>403</v>
      </c>
      <c r="J887" s="151">
        <v>45636</v>
      </c>
      <c r="K887" s="135" t="s">
        <v>122</v>
      </c>
      <c r="L887" s="135">
        <v>461000600</v>
      </c>
      <c r="M887" s="151">
        <v>45638</v>
      </c>
      <c r="N887" s="152">
        <v>45638.4375</v>
      </c>
      <c r="O887" s="152">
        <v>45638.4375</v>
      </c>
      <c r="P887" s="152">
        <v>45638.440972222219</v>
      </c>
      <c r="Q887" s="152">
        <v>45638.604166666664</v>
      </c>
      <c r="R887" s="152" t="s">
        <v>118</v>
      </c>
      <c r="S887" s="152" t="s">
        <v>118</v>
      </c>
      <c r="T887" s="152">
        <v>45638.645833333336</v>
      </c>
      <c r="U887" s="152">
        <v>45638.763888888891</v>
      </c>
      <c r="V887" s="219">
        <f t="shared" si="529"/>
        <v>0.16666666666424135</v>
      </c>
      <c r="W887" s="203">
        <v>0.20833333333333334</v>
      </c>
      <c r="X887" s="219" t="str">
        <f t="shared" si="530"/>
        <v>00:00</v>
      </c>
      <c r="Y887" s="96">
        <v>0</v>
      </c>
      <c r="Z887" s="96">
        <v>57</v>
      </c>
      <c r="AA887" s="96">
        <f t="shared" si="511"/>
        <v>57</v>
      </c>
      <c r="AB887" s="97">
        <f t="shared" si="512"/>
        <v>0</v>
      </c>
      <c r="AC887" s="97">
        <f t="shared" si="513"/>
        <v>3972.88</v>
      </c>
      <c r="AD887" s="98">
        <v>3972.88</v>
      </c>
      <c r="AE887" s="98">
        <v>3959.5</v>
      </c>
      <c r="AF887" s="98">
        <v>3988.6</v>
      </c>
      <c r="AG887" s="98">
        <f t="shared" si="514"/>
        <v>15.7199999999998</v>
      </c>
      <c r="AH887" s="99">
        <v>672.5</v>
      </c>
      <c r="AI887" s="100">
        <f t="shared" si="515"/>
        <v>2682333.5</v>
      </c>
      <c r="AJ887" s="100">
        <f>(0*AH887)*2</f>
        <v>0</v>
      </c>
      <c r="AK887" s="100">
        <v>0</v>
      </c>
      <c r="AL887" s="100">
        <v>23990</v>
      </c>
      <c r="AM887" s="100">
        <v>0</v>
      </c>
      <c r="AN887" s="100">
        <v>0</v>
      </c>
      <c r="AO887" s="100">
        <v>0</v>
      </c>
      <c r="AP887" s="100">
        <f t="shared" si="516"/>
        <v>135317</v>
      </c>
      <c r="AQ887" s="101">
        <f t="shared" si="528"/>
        <v>2841641</v>
      </c>
      <c r="AR887" s="101">
        <v>0</v>
      </c>
      <c r="AS887" s="101">
        <v>0</v>
      </c>
      <c r="AT887" s="102" t="s">
        <v>33</v>
      </c>
      <c r="AU887" s="109">
        <v>14</v>
      </c>
      <c r="AV887" s="100">
        <f>37.97-29.47</f>
        <v>8.5</v>
      </c>
      <c r="AW887" s="105">
        <v>0</v>
      </c>
      <c r="AX887" s="216">
        <f t="shared" si="531"/>
        <v>0.39412325126610337</v>
      </c>
      <c r="AY887" s="217">
        <f t="shared" si="532"/>
        <v>10572</v>
      </c>
      <c r="AZ887" s="107"/>
      <c r="BA887" s="94">
        <v>45638.4375</v>
      </c>
      <c r="BB887" s="94">
        <v>45638.440972222219</v>
      </c>
      <c r="BC887" s="94">
        <v>45638.446527777778</v>
      </c>
      <c r="BD887" s="94">
        <v>45638.569444444445</v>
      </c>
      <c r="BE887" s="95">
        <f t="shared" si="533"/>
        <v>0.13194444444525288</v>
      </c>
      <c r="BF887" s="95">
        <v>5.5555555555555558E-3</v>
      </c>
      <c r="BG887" s="95">
        <v>0</v>
      </c>
      <c r="BH887" s="95">
        <f t="shared" si="534"/>
        <v>3.4722222189884633E-3</v>
      </c>
      <c r="BI887" s="95">
        <f t="shared" si="534"/>
        <v>5.5555555591126904E-3</v>
      </c>
      <c r="BJ887" s="95">
        <f t="shared" si="534"/>
        <v>0.12291666666715173</v>
      </c>
      <c r="BK887" s="95">
        <f t="shared" si="535"/>
        <v>0.12847222222626442</v>
      </c>
      <c r="BL887" s="95">
        <f t="shared" si="536"/>
        <v>0.12291666667070887</v>
      </c>
      <c r="BM887" s="95" t="str">
        <f t="shared" si="537"/>
        <v>00:00</v>
      </c>
      <c r="BN887" s="110"/>
    </row>
    <row r="888" spans="1:66" s="8" customFormat="1" ht="12.75" customHeight="1" x14ac:dyDescent="0.25">
      <c r="A888" s="150">
        <v>814</v>
      </c>
      <c r="B888" s="150">
        <v>40</v>
      </c>
      <c r="C888" s="90">
        <v>9</v>
      </c>
      <c r="D888" s="111" t="s">
        <v>113</v>
      </c>
      <c r="E888" s="210" t="s">
        <v>943</v>
      </c>
      <c r="F888" s="150" t="s">
        <v>32</v>
      </c>
      <c r="G888" s="150" t="s">
        <v>15</v>
      </c>
      <c r="H888" s="150" t="s">
        <v>213</v>
      </c>
      <c r="I888" s="150" t="s">
        <v>1003</v>
      </c>
      <c r="J888" s="151">
        <v>45638</v>
      </c>
      <c r="K888" s="135" t="s">
        <v>117</v>
      </c>
      <c r="L888" s="135">
        <v>262010626</v>
      </c>
      <c r="M888" s="151">
        <v>45638</v>
      </c>
      <c r="N888" s="152">
        <v>45638.604166666664</v>
      </c>
      <c r="O888" s="152">
        <v>45638.604166666664</v>
      </c>
      <c r="P888" s="152">
        <v>45638.607638888891</v>
      </c>
      <c r="Q888" s="152">
        <v>45638.791666666664</v>
      </c>
      <c r="R888" s="152" t="s">
        <v>118</v>
      </c>
      <c r="S888" s="152" t="s">
        <v>118</v>
      </c>
      <c r="T888" s="152">
        <v>45638.854166666664</v>
      </c>
      <c r="U888" s="152">
        <v>45638.93472222222</v>
      </c>
      <c r="V888" s="219">
        <f t="shared" si="529"/>
        <v>0.1875</v>
      </c>
      <c r="W888" s="203">
        <v>0.20833333333333334</v>
      </c>
      <c r="X888" s="219" t="str">
        <f t="shared" si="530"/>
        <v>00:00</v>
      </c>
      <c r="Y888" s="96">
        <v>0</v>
      </c>
      <c r="Z888" s="96">
        <v>59</v>
      </c>
      <c r="AA888" s="96">
        <f t="shared" si="511"/>
        <v>59</v>
      </c>
      <c r="AB888" s="97">
        <f t="shared" si="512"/>
        <v>0</v>
      </c>
      <c r="AC888" s="97">
        <f t="shared" si="513"/>
        <v>3855.9700000000003</v>
      </c>
      <c r="AD888" s="98">
        <v>3855.97</v>
      </c>
      <c r="AE888" s="98">
        <v>4084</v>
      </c>
      <c r="AF888" s="98">
        <v>4084</v>
      </c>
      <c r="AG888" s="98">
        <f t="shared" si="514"/>
        <v>228.0300000000002</v>
      </c>
      <c r="AH888" s="99">
        <v>2329.4</v>
      </c>
      <c r="AI888" s="100">
        <f t="shared" si="515"/>
        <v>9513269.5999999996</v>
      </c>
      <c r="AJ888" s="100">
        <f>(0*AH888)*2</f>
        <v>0</v>
      </c>
      <c r="AK888" s="100">
        <v>0</v>
      </c>
      <c r="AL888" s="100">
        <v>0</v>
      </c>
      <c r="AM888" s="100">
        <v>0</v>
      </c>
      <c r="AN888" s="100">
        <v>0</v>
      </c>
      <c r="AO888" s="100">
        <v>0</v>
      </c>
      <c r="AP888" s="100">
        <f t="shared" si="516"/>
        <v>475664</v>
      </c>
      <c r="AQ888" s="101">
        <f t="shared" si="528"/>
        <v>9988934</v>
      </c>
      <c r="AR888" s="101">
        <v>0</v>
      </c>
      <c r="AS888" s="101">
        <v>0</v>
      </c>
      <c r="AT888" s="102" t="s">
        <v>33</v>
      </c>
      <c r="AU888" s="109" t="s">
        <v>118</v>
      </c>
      <c r="AV888" s="100">
        <v>0</v>
      </c>
      <c r="AW888" s="105">
        <v>0</v>
      </c>
      <c r="AX888" s="216">
        <f t="shared" si="531"/>
        <v>5.5834965719882517</v>
      </c>
      <c r="AY888" s="217">
        <f t="shared" si="532"/>
        <v>531174</v>
      </c>
      <c r="AZ888" s="107"/>
      <c r="BA888" s="94">
        <v>45638.604166666664</v>
      </c>
      <c r="BB888" s="94">
        <v>45638.607638888891</v>
      </c>
      <c r="BC888" s="94">
        <v>45638.607638888891</v>
      </c>
      <c r="BD888" s="94">
        <v>45638.736805555556</v>
      </c>
      <c r="BE888" s="95">
        <f t="shared" si="533"/>
        <v>0.13263888889196096</v>
      </c>
      <c r="BF888" s="95">
        <v>0</v>
      </c>
      <c r="BG888" s="95">
        <v>3.3333333333333333E-2</v>
      </c>
      <c r="BH888" s="95">
        <f t="shared" si="534"/>
        <v>3.4722222262644209E-3</v>
      </c>
      <c r="BI888" s="95">
        <f t="shared" si="534"/>
        <v>0</v>
      </c>
      <c r="BJ888" s="95">
        <f t="shared" si="534"/>
        <v>0.12916666666569654</v>
      </c>
      <c r="BK888" s="95">
        <f t="shared" si="535"/>
        <v>0.12916666666569654</v>
      </c>
      <c r="BL888" s="95">
        <f t="shared" si="536"/>
        <v>9.5833333332363213E-2</v>
      </c>
      <c r="BM888" s="95" t="str">
        <f t="shared" si="537"/>
        <v>00:00</v>
      </c>
      <c r="BN888" s="110"/>
    </row>
    <row r="889" spans="1:66" s="8" customFormat="1" ht="12.75" customHeight="1" x14ac:dyDescent="0.25">
      <c r="A889" s="150">
        <v>815</v>
      </c>
      <c r="B889" s="150">
        <v>41</v>
      </c>
      <c r="C889" s="90">
        <v>6</v>
      </c>
      <c r="D889" s="111" t="s">
        <v>148</v>
      </c>
      <c r="E889" s="210" t="s">
        <v>1000</v>
      </c>
      <c r="F889" s="150" t="s">
        <v>19</v>
      </c>
      <c r="G889" s="150" t="s">
        <v>17</v>
      </c>
      <c r="H889" s="150" t="s">
        <v>150</v>
      </c>
      <c r="I889" s="150" t="s">
        <v>405</v>
      </c>
      <c r="J889" s="151">
        <v>45636</v>
      </c>
      <c r="K889" s="135" t="s">
        <v>122</v>
      </c>
      <c r="L889" s="135">
        <v>461000601</v>
      </c>
      <c r="M889" s="151">
        <v>45639</v>
      </c>
      <c r="N889" s="152">
        <v>45638.8125</v>
      </c>
      <c r="O889" s="152">
        <v>45638.8125</v>
      </c>
      <c r="P889" s="152">
        <v>45638.833333333336</v>
      </c>
      <c r="Q889" s="152">
        <v>45638.993055555555</v>
      </c>
      <c r="R889" s="152" t="s">
        <v>118</v>
      </c>
      <c r="S889" s="152" t="s">
        <v>118</v>
      </c>
      <c r="T889" s="152">
        <v>45639.041666666664</v>
      </c>
      <c r="U889" s="152">
        <v>45639.120138888888</v>
      </c>
      <c r="V889" s="219">
        <f t="shared" si="529"/>
        <v>0.18055555555474712</v>
      </c>
      <c r="W889" s="203">
        <v>0.20833333333333334</v>
      </c>
      <c r="X889" s="219" t="str">
        <f t="shared" si="530"/>
        <v>00:00</v>
      </c>
      <c r="Y889" s="96">
        <v>0</v>
      </c>
      <c r="Z889" s="96">
        <v>58</v>
      </c>
      <c r="AA889" s="96">
        <f t="shared" si="511"/>
        <v>58</v>
      </c>
      <c r="AB889" s="97">
        <f t="shared" si="512"/>
        <v>0</v>
      </c>
      <c r="AC889" s="97">
        <f t="shared" si="513"/>
        <v>3990.26</v>
      </c>
      <c r="AD889" s="98">
        <v>3990.26</v>
      </c>
      <c r="AE889" s="98">
        <v>4024.6</v>
      </c>
      <c r="AF889" s="98">
        <v>4035.2</v>
      </c>
      <c r="AG889" s="98">
        <f t="shared" si="514"/>
        <v>44.9399999999996</v>
      </c>
      <c r="AH889" s="99">
        <v>672.5</v>
      </c>
      <c r="AI889" s="100">
        <f t="shared" si="515"/>
        <v>2713672</v>
      </c>
      <c r="AJ889" s="100">
        <f>(2*AH889)*2</f>
        <v>2690</v>
      </c>
      <c r="AK889" s="100">
        <v>0</v>
      </c>
      <c r="AL889" s="100">
        <v>0</v>
      </c>
      <c r="AM889" s="100">
        <v>0</v>
      </c>
      <c r="AN889" s="100">
        <v>0</v>
      </c>
      <c r="AO889" s="100">
        <v>0</v>
      </c>
      <c r="AP889" s="100">
        <f t="shared" si="516"/>
        <v>135819</v>
      </c>
      <c r="AQ889" s="101">
        <f t="shared" si="528"/>
        <v>2852181</v>
      </c>
      <c r="AR889" s="101">
        <v>0</v>
      </c>
      <c r="AS889" s="101">
        <v>0</v>
      </c>
      <c r="AT889" s="102" t="s">
        <v>33</v>
      </c>
      <c r="AU889" s="109" t="s">
        <v>118</v>
      </c>
      <c r="AV889" s="100">
        <v>0</v>
      </c>
      <c r="AW889" s="105">
        <v>0</v>
      </c>
      <c r="AX889" s="216">
        <f t="shared" si="531"/>
        <v>1.1136994448850019</v>
      </c>
      <c r="AY889" s="217">
        <f t="shared" si="532"/>
        <v>30223</v>
      </c>
      <c r="AZ889" s="107"/>
      <c r="BA889" s="94">
        <v>45638.8125</v>
      </c>
      <c r="BB889" s="94">
        <v>45638.833333333336</v>
      </c>
      <c r="BC889" s="94">
        <v>45638.833333333336</v>
      </c>
      <c r="BD889" s="94">
        <v>45638.958333333336</v>
      </c>
      <c r="BE889" s="95">
        <f t="shared" si="533"/>
        <v>0.14583333333575865</v>
      </c>
      <c r="BF889" s="95">
        <v>0</v>
      </c>
      <c r="BG889" s="95">
        <v>0</v>
      </c>
      <c r="BH889" s="95">
        <f t="shared" si="534"/>
        <v>2.0833333335758653E-2</v>
      </c>
      <c r="BI889" s="95">
        <f t="shared" si="534"/>
        <v>0</v>
      </c>
      <c r="BJ889" s="95">
        <f t="shared" si="534"/>
        <v>0.125</v>
      </c>
      <c r="BK889" s="95">
        <f t="shared" si="535"/>
        <v>0.125</v>
      </c>
      <c r="BL889" s="95">
        <f t="shared" si="536"/>
        <v>0.125</v>
      </c>
      <c r="BM889" s="95" t="str">
        <f t="shared" si="537"/>
        <v>00:00</v>
      </c>
      <c r="BN889" s="110"/>
    </row>
    <row r="890" spans="1:66" s="8" customFormat="1" ht="12.75" customHeight="1" x14ac:dyDescent="0.25">
      <c r="A890" s="115">
        <v>816</v>
      </c>
      <c r="B890" s="115">
        <v>42</v>
      </c>
      <c r="C890" s="90">
        <v>8</v>
      </c>
      <c r="D890" s="115" t="s">
        <v>113</v>
      </c>
      <c r="E890" s="210" t="s">
        <v>956</v>
      </c>
      <c r="F890" s="115" t="s">
        <v>41</v>
      </c>
      <c r="G890" s="115" t="s">
        <v>12</v>
      </c>
      <c r="H890" s="115" t="s">
        <v>115</v>
      </c>
      <c r="I890" s="115" t="s">
        <v>1004</v>
      </c>
      <c r="J890" s="117">
        <v>45638</v>
      </c>
      <c r="K890" s="116" t="s">
        <v>117</v>
      </c>
      <c r="L890" s="116">
        <v>282001075</v>
      </c>
      <c r="M890" s="117">
        <v>45639</v>
      </c>
      <c r="N890" s="118">
        <v>45639.052083333336</v>
      </c>
      <c r="O890" s="118">
        <v>45639.052083333336</v>
      </c>
      <c r="P890" s="118">
        <v>45639.083333333336</v>
      </c>
      <c r="Q890" s="118">
        <v>45639.260416666664</v>
      </c>
      <c r="R890" s="118" t="s">
        <v>118</v>
      </c>
      <c r="S890" s="118" t="s">
        <v>118</v>
      </c>
      <c r="T890" s="118">
        <v>45639.347222222219</v>
      </c>
      <c r="U890" s="118">
        <v>45639.427777777775</v>
      </c>
      <c r="V890" s="119">
        <f t="shared" si="529"/>
        <v>0.20833333332848269</v>
      </c>
      <c r="W890" s="185">
        <v>0.20833333333333334</v>
      </c>
      <c r="X890" s="119" t="str">
        <f t="shared" si="530"/>
        <v>00:00</v>
      </c>
      <c r="Y890" s="96">
        <v>4</v>
      </c>
      <c r="Z890" s="96">
        <v>53</v>
      </c>
      <c r="AA890" s="96">
        <f t="shared" si="511"/>
        <v>57</v>
      </c>
      <c r="AB890" s="97">
        <f t="shared" si="512"/>
        <v>268.74947368421056</v>
      </c>
      <c r="AC890" s="97">
        <f t="shared" si="513"/>
        <v>3560.9305263157898</v>
      </c>
      <c r="AD890" s="98">
        <f>3896.88-67.2</f>
        <v>3829.6800000000003</v>
      </c>
      <c r="AE890" s="98">
        <f>4030.7-70</f>
        <v>3960.7</v>
      </c>
      <c r="AF890" s="98">
        <f>4035.6-70</f>
        <v>3965.6</v>
      </c>
      <c r="AG890" s="98">
        <f t="shared" si="514"/>
        <v>135.91999999999962</v>
      </c>
      <c r="AH890" s="99">
        <v>1586.7</v>
      </c>
      <c r="AI890" s="100">
        <f t="shared" si="515"/>
        <v>6292217.5200000005</v>
      </c>
      <c r="AJ890" s="100">
        <f>(0.6*AH890)*2</f>
        <v>1904.04</v>
      </c>
      <c r="AK890" s="100">
        <v>0</v>
      </c>
      <c r="AL890" s="100">
        <v>0</v>
      </c>
      <c r="AM890" s="100">
        <v>0</v>
      </c>
      <c r="AN890" s="100">
        <v>0</v>
      </c>
      <c r="AO890" s="100">
        <f>IFERROR(AF890*20+(((AJ890/AH890)/2)*20),0)</f>
        <v>79324</v>
      </c>
      <c r="AP890" s="100">
        <f>ROUNDUP(SUM(AI890:AO890)*5%,0)-1</f>
        <v>318672</v>
      </c>
      <c r="AQ890" s="101">
        <f t="shared" si="528"/>
        <v>6692118</v>
      </c>
      <c r="AR890" s="101">
        <v>0</v>
      </c>
      <c r="AS890" s="101">
        <v>0</v>
      </c>
      <c r="AT890" s="137" t="s">
        <v>33</v>
      </c>
      <c r="AU890" s="120" t="s">
        <v>118</v>
      </c>
      <c r="AV890" s="121">
        <v>0</v>
      </c>
      <c r="AW890" s="105">
        <v>0</v>
      </c>
      <c r="AX890" s="140">
        <f>IFERROR(((AG890+AG891)/(AF890+AF891))*100, "")</f>
        <v>3.4374070770145613</v>
      </c>
      <c r="AY890" s="141">
        <f>ROUNDUP((AG890+AG891)*AH890,0)</f>
        <v>220108</v>
      </c>
      <c r="AZ890" s="107"/>
      <c r="BA890" s="118">
        <v>45639.052083333336</v>
      </c>
      <c r="BB890" s="118">
        <v>45639.083333333336</v>
      </c>
      <c r="BC890" s="118">
        <v>45639.090277777781</v>
      </c>
      <c r="BD890" s="118">
        <v>45639.259722222225</v>
      </c>
      <c r="BE890" s="119">
        <f t="shared" si="533"/>
        <v>0.20763888888905058</v>
      </c>
      <c r="BF890" s="119">
        <v>2.0833333333333332E-2</v>
      </c>
      <c r="BG890" s="119">
        <v>2.7777777777777776E-2</v>
      </c>
      <c r="BH890" s="119">
        <f t="shared" si="534"/>
        <v>3.125E-2</v>
      </c>
      <c r="BI890" s="119">
        <f t="shared" si="534"/>
        <v>6.9444444452528842E-3</v>
      </c>
      <c r="BJ890" s="119">
        <f t="shared" si="534"/>
        <v>0.16944444444379769</v>
      </c>
      <c r="BK890" s="119">
        <f t="shared" si="535"/>
        <v>0.17638888888905058</v>
      </c>
      <c r="BL890" s="119">
        <f t="shared" si="536"/>
        <v>0.12777777777793947</v>
      </c>
      <c r="BM890" s="119" t="str">
        <f t="shared" si="537"/>
        <v>00:00</v>
      </c>
      <c r="BN890" s="110" t="s">
        <v>1005</v>
      </c>
    </row>
    <row r="891" spans="1:66" s="8" customFormat="1" ht="12.75" customHeight="1" x14ac:dyDescent="0.25">
      <c r="A891" s="122"/>
      <c r="B891" s="122"/>
      <c r="C891" s="90">
        <v>9</v>
      </c>
      <c r="D891" s="122"/>
      <c r="E891" s="210" t="s">
        <v>849</v>
      </c>
      <c r="F891" s="122"/>
      <c r="G891" s="122"/>
      <c r="H891" s="122"/>
      <c r="I891" s="122"/>
      <c r="J891" s="124"/>
      <c r="K891" s="123"/>
      <c r="L891" s="123"/>
      <c r="M891" s="124"/>
      <c r="N891" s="125"/>
      <c r="O891" s="125"/>
      <c r="P891" s="125"/>
      <c r="Q891" s="125"/>
      <c r="R891" s="125"/>
      <c r="S891" s="125"/>
      <c r="T891" s="125"/>
      <c r="U891" s="125"/>
      <c r="V891" s="126"/>
      <c r="W891" s="189"/>
      <c r="X891" s="126"/>
      <c r="Y891" s="96">
        <v>0</v>
      </c>
      <c r="Z891" s="96">
        <v>1</v>
      </c>
      <c r="AA891" s="96">
        <f t="shared" si="511"/>
        <v>1</v>
      </c>
      <c r="AB891" s="97">
        <f t="shared" si="512"/>
        <v>0</v>
      </c>
      <c r="AC891" s="97">
        <f t="shared" si="513"/>
        <v>67.2</v>
      </c>
      <c r="AD891" s="98">
        <v>67.2</v>
      </c>
      <c r="AE891" s="98">
        <v>70</v>
      </c>
      <c r="AF891" s="98">
        <v>70</v>
      </c>
      <c r="AG891" s="98">
        <f t="shared" si="514"/>
        <v>2.7999999999999972</v>
      </c>
      <c r="AH891" s="99">
        <v>1586.7</v>
      </c>
      <c r="AI891" s="100">
        <f t="shared" si="515"/>
        <v>111069</v>
      </c>
      <c r="AJ891" s="100">
        <f t="shared" ref="AJ891:AJ896" si="538">(0*AH891)*2</f>
        <v>0</v>
      </c>
      <c r="AK891" s="100">
        <v>0</v>
      </c>
      <c r="AL891" s="100">
        <v>0</v>
      </c>
      <c r="AM891" s="100">
        <v>0</v>
      </c>
      <c r="AN891" s="100">
        <v>0</v>
      </c>
      <c r="AO891" s="100">
        <f>IFERROR(AF891*20+(((AJ891/AH891)/2)*20),0)</f>
        <v>1400</v>
      </c>
      <c r="AP891" s="100">
        <f t="shared" ref="AP891:AP920" si="539">ROUNDUP(SUM(AI891:AO891)*5%,0)</f>
        <v>5624</v>
      </c>
      <c r="AQ891" s="101">
        <f t="shared" si="528"/>
        <v>118093</v>
      </c>
      <c r="AR891" s="101">
        <v>0</v>
      </c>
      <c r="AS891" s="101">
        <v>0</v>
      </c>
      <c r="AT891" s="138"/>
      <c r="AU891" s="127"/>
      <c r="AV891" s="128"/>
      <c r="AW891" s="105">
        <v>0</v>
      </c>
      <c r="AX891" s="144"/>
      <c r="AY891" s="145"/>
      <c r="AZ891" s="107"/>
      <c r="BA891" s="125"/>
      <c r="BB891" s="125"/>
      <c r="BC891" s="125"/>
      <c r="BD891" s="125"/>
      <c r="BE891" s="126"/>
      <c r="BF891" s="126"/>
      <c r="BG891" s="126"/>
      <c r="BH891" s="126"/>
      <c r="BI891" s="126"/>
      <c r="BJ891" s="126"/>
      <c r="BK891" s="126"/>
      <c r="BL891" s="126"/>
      <c r="BM891" s="126"/>
      <c r="BN891" s="110" t="s">
        <v>1006</v>
      </c>
    </row>
    <row r="892" spans="1:66" s="8" customFormat="1" ht="12.75" customHeight="1" x14ac:dyDescent="0.25">
      <c r="A892" s="150">
        <v>817</v>
      </c>
      <c r="B892" s="150">
        <v>43</v>
      </c>
      <c r="C892" s="90">
        <v>7</v>
      </c>
      <c r="D892" s="111" t="s">
        <v>148</v>
      </c>
      <c r="E892" s="210" t="s">
        <v>1000</v>
      </c>
      <c r="F892" s="150" t="s">
        <v>19</v>
      </c>
      <c r="G892" s="150" t="s">
        <v>17</v>
      </c>
      <c r="H892" s="150" t="s">
        <v>150</v>
      </c>
      <c r="I892" s="150" t="s">
        <v>408</v>
      </c>
      <c r="J892" s="151">
        <v>45636</v>
      </c>
      <c r="K892" s="135" t="s">
        <v>122</v>
      </c>
      <c r="L892" s="135">
        <v>461000602</v>
      </c>
      <c r="M892" s="151">
        <v>45639</v>
      </c>
      <c r="N892" s="152">
        <v>45639.229166666664</v>
      </c>
      <c r="O892" s="152">
        <v>45639.229166666664</v>
      </c>
      <c r="P892" s="152">
        <v>45639.232638888891</v>
      </c>
      <c r="Q892" s="152">
        <v>45639.427083333336</v>
      </c>
      <c r="R892" s="152" t="s">
        <v>118</v>
      </c>
      <c r="S892" s="152" t="s">
        <v>118</v>
      </c>
      <c r="T892" s="152">
        <v>45639.541666666664</v>
      </c>
      <c r="U892" s="152">
        <v>45639.715277777781</v>
      </c>
      <c r="V892" s="219">
        <f t="shared" ref="V892:V921" si="540">+Q892-O892</f>
        <v>0.19791666667151731</v>
      </c>
      <c r="W892" s="203">
        <v>0.20833333333333334</v>
      </c>
      <c r="X892" s="219" t="str">
        <f t="shared" ref="X892:X921" si="541">IF(VALUE(V892)&lt;=VALUE("05:00"),"00:00",VALUE(V892)-VALUE("05:00"))</f>
        <v>00:00</v>
      </c>
      <c r="Y892" s="96">
        <v>0</v>
      </c>
      <c r="Z892" s="96">
        <v>55</v>
      </c>
      <c r="AA892" s="96">
        <f t="shared" si="511"/>
        <v>55</v>
      </c>
      <c r="AB892" s="97">
        <f t="shared" si="512"/>
        <v>0</v>
      </c>
      <c r="AC892" s="97">
        <f t="shared" si="513"/>
        <v>3853.02</v>
      </c>
      <c r="AD892" s="98">
        <v>3853.02</v>
      </c>
      <c r="AE892" s="98">
        <v>3837.4</v>
      </c>
      <c r="AF892" s="98">
        <v>3866.4</v>
      </c>
      <c r="AG892" s="98">
        <f t="shared" si="514"/>
        <v>13.380000000000109</v>
      </c>
      <c r="AH892" s="99">
        <v>672.5</v>
      </c>
      <c r="AI892" s="100">
        <f t="shared" si="515"/>
        <v>2600154</v>
      </c>
      <c r="AJ892" s="100">
        <f t="shared" si="538"/>
        <v>0</v>
      </c>
      <c r="AK892" s="100">
        <v>0</v>
      </c>
      <c r="AL892" s="100">
        <v>47380</v>
      </c>
      <c r="AM892" s="100">
        <v>0</v>
      </c>
      <c r="AN892" s="100">
        <v>0</v>
      </c>
      <c r="AO892" s="100">
        <v>0</v>
      </c>
      <c r="AP892" s="100">
        <f t="shared" si="539"/>
        <v>132377</v>
      </c>
      <c r="AQ892" s="101">
        <f t="shared" si="528"/>
        <v>2779911</v>
      </c>
      <c r="AR892" s="101">
        <v>0</v>
      </c>
      <c r="AS892" s="101">
        <v>0</v>
      </c>
      <c r="AT892" s="102" t="s">
        <v>33</v>
      </c>
      <c r="AU892" s="109">
        <v>19</v>
      </c>
      <c r="AV892" s="100">
        <f>38.47-23.47</f>
        <v>15</v>
      </c>
      <c r="AW892" s="105">
        <v>0</v>
      </c>
      <c r="AX892" s="216">
        <f t="shared" ref="AX892:AX920" si="542">IFERROR((AG892/AF892)*100, "")</f>
        <v>0.34605834885164777</v>
      </c>
      <c r="AY892" s="217">
        <f t="shared" ref="AY892:AY920" si="543">ROUNDUP(AG892*AH892,0)</f>
        <v>8999</v>
      </c>
      <c r="AZ892" s="107"/>
      <c r="BA892" s="94">
        <v>45639.229166666664</v>
      </c>
      <c r="BB892" s="94">
        <v>45639.232638888891</v>
      </c>
      <c r="BC892" s="94">
        <v>45639.270833333336</v>
      </c>
      <c r="BD892" s="94">
        <v>45639.385416666664</v>
      </c>
      <c r="BE892" s="95">
        <f t="shared" ref="BE892:BE921" si="544">+BD892-BA892</f>
        <v>0.15625</v>
      </c>
      <c r="BF892" s="95">
        <v>0</v>
      </c>
      <c r="BG892" s="95">
        <v>3.8194444444444448E-2</v>
      </c>
      <c r="BH892" s="95">
        <f t="shared" ref="BH892:BJ921" si="545">+BB892-BA892</f>
        <v>3.4722222262644209E-3</v>
      </c>
      <c r="BI892" s="95">
        <f t="shared" si="545"/>
        <v>3.8194444445252884E-2</v>
      </c>
      <c r="BJ892" s="95">
        <f t="shared" si="545"/>
        <v>0.11458333332848269</v>
      </c>
      <c r="BK892" s="95">
        <f t="shared" ref="BK892:BK921" si="546">+BI892+BJ892</f>
        <v>0.15277777777373558</v>
      </c>
      <c r="BL892" s="95">
        <f t="shared" ref="BL892:BL921" si="547">+BE892-BH892-BF892-BG892</f>
        <v>0.11458333332929113</v>
      </c>
      <c r="BM892" s="95" t="str">
        <f t="shared" ref="BM892:BM921" si="548">IF(VALUE(BE892)&lt;=VALUE("05:00"),"00:00",VALUE(BE892)-VALUE("05:00"))</f>
        <v>00:00</v>
      </c>
      <c r="BN892" s="110"/>
    </row>
    <row r="893" spans="1:66" s="8" customFormat="1" ht="12.75" customHeight="1" x14ac:dyDescent="0.25">
      <c r="A893" s="150">
        <v>818</v>
      </c>
      <c r="B893" s="150">
        <v>44</v>
      </c>
      <c r="C893" s="90">
        <v>10</v>
      </c>
      <c r="D893" s="111" t="s">
        <v>113</v>
      </c>
      <c r="E893" s="210" t="s">
        <v>943</v>
      </c>
      <c r="F893" s="150" t="s">
        <v>32</v>
      </c>
      <c r="G893" s="150" t="s">
        <v>15</v>
      </c>
      <c r="H893" s="150" t="s">
        <v>271</v>
      </c>
      <c r="I893" s="150" t="s">
        <v>1007</v>
      </c>
      <c r="J893" s="151">
        <v>45639</v>
      </c>
      <c r="K893" s="135" t="s">
        <v>117</v>
      </c>
      <c r="L893" s="135">
        <v>262010632</v>
      </c>
      <c r="M893" s="151">
        <v>45639</v>
      </c>
      <c r="N893" s="152">
        <v>45639.46875</v>
      </c>
      <c r="O893" s="152">
        <v>45639.46875</v>
      </c>
      <c r="P893" s="152">
        <v>45639.472222222219</v>
      </c>
      <c r="Q893" s="152">
        <v>45639.666666666664</v>
      </c>
      <c r="R893" s="152" t="s">
        <v>118</v>
      </c>
      <c r="S893" s="152" t="s">
        <v>118</v>
      </c>
      <c r="T893" s="152">
        <v>45639.756944444445</v>
      </c>
      <c r="U893" s="152">
        <v>45639.855555555558</v>
      </c>
      <c r="V893" s="219">
        <f t="shared" si="540"/>
        <v>0.19791666666424135</v>
      </c>
      <c r="W893" s="203">
        <v>0.20833333333333334</v>
      </c>
      <c r="X893" s="219" t="str">
        <f t="shared" si="541"/>
        <v>00:00</v>
      </c>
      <c r="Y893" s="96">
        <v>0</v>
      </c>
      <c r="Z893" s="96">
        <v>58</v>
      </c>
      <c r="AA893" s="96">
        <f t="shared" si="511"/>
        <v>58</v>
      </c>
      <c r="AB893" s="97">
        <f t="shared" si="512"/>
        <v>0</v>
      </c>
      <c r="AC893" s="97">
        <f t="shared" si="513"/>
        <v>3863.85</v>
      </c>
      <c r="AD893" s="98">
        <v>3863.85</v>
      </c>
      <c r="AE893" s="98">
        <v>4024.6</v>
      </c>
      <c r="AF893" s="98">
        <v>4024.6</v>
      </c>
      <c r="AG893" s="98">
        <f t="shared" si="514"/>
        <v>160.75</v>
      </c>
      <c r="AH893" s="99">
        <v>1484</v>
      </c>
      <c r="AI893" s="100">
        <f t="shared" si="515"/>
        <v>5972506.3999999994</v>
      </c>
      <c r="AJ893" s="100">
        <f t="shared" si="538"/>
        <v>0</v>
      </c>
      <c r="AK893" s="100">
        <v>0</v>
      </c>
      <c r="AL893" s="100">
        <v>0</v>
      </c>
      <c r="AM893" s="100">
        <v>0</v>
      </c>
      <c r="AN893" s="100">
        <v>0</v>
      </c>
      <c r="AO893" s="100">
        <v>0</v>
      </c>
      <c r="AP893" s="100">
        <f t="shared" si="539"/>
        <v>298626</v>
      </c>
      <c r="AQ893" s="101">
        <f t="shared" si="528"/>
        <v>6271133</v>
      </c>
      <c r="AR893" s="101">
        <v>0</v>
      </c>
      <c r="AS893" s="101">
        <v>0</v>
      </c>
      <c r="AT893" s="102" t="s">
        <v>33</v>
      </c>
      <c r="AU893" s="109" t="s">
        <v>118</v>
      </c>
      <c r="AV893" s="100">
        <v>0</v>
      </c>
      <c r="AW893" s="105">
        <v>0</v>
      </c>
      <c r="AX893" s="216">
        <f t="shared" si="542"/>
        <v>3.9941857575908166</v>
      </c>
      <c r="AY893" s="217">
        <f t="shared" si="543"/>
        <v>238553</v>
      </c>
      <c r="AZ893" s="107"/>
      <c r="BA893" s="94">
        <v>45639.46875</v>
      </c>
      <c r="BB893" s="94">
        <v>45639.472222222219</v>
      </c>
      <c r="BC893" s="94">
        <v>45639.472222222219</v>
      </c>
      <c r="BD893" s="94">
        <v>45639.625</v>
      </c>
      <c r="BE893" s="95">
        <f t="shared" si="544"/>
        <v>0.15625</v>
      </c>
      <c r="BF893" s="95">
        <v>0</v>
      </c>
      <c r="BG893" s="95">
        <v>4.4444444444444446E-2</v>
      </c>
      <c r="BH893" s="95">
        <f t="shared" si="545"/>
        <v>3.4722222189884633E-3</v>
      </c>
      <c r="BI893" s="95">
        <f t="shared" si="545"/>
        <v>0</v>
      </c>
      <c r="BJ893" s="95">
        <f t="shared" si="545"/>
        <v>0.15277777778101154</v>
      </c>
      <c r="BK893" s="95">
        <f t="shared" si="546"/>
        <v>0.15277777778101154</v>
      </c>
      <c r="BL893" s="95">
        <f t="shared" si="547"/>
        <v>0.10833333333656708</v>
      </c>
      <c r="BM893" s="95" t="str">
        <f t="shared" si="548"/>
        <v>00:00</v>
      </c>
      <c r="BN893" s="110"/>
    </row>
    <row r="894" spans="1:66" s="8" customFormat="1" ht="12.75" customHeight="1" x14ac:dyDescent="0.25">
      <c r="A894" s="150">
        <v>819</v>
      </c>
      <c r="B894" s="150">
        <v>45</v>
      </c>
      <c r="C894" s="90">
        <v>8</v>
      </c>
      <c r="D894" s="111" t="s">
        <v>148</v>
      </c>
      <c r="E894" s="210" t="s">
        <v>1000</v>
      </c>
      <c r="F894" s="150" t="s">
        <v>19</v>
      </c>
      <c r="G894" s="150" t="s">
        <v>17</v>
      </c>
      <c r="H894" s="150" t="s">
        <v>150</v>
      </c>
      <c r="I894" s="150" t="s">
        <v>421</v>
      </c>
      <c r="J894" s="151">
        <v>45638</v>
      </c>
      <c r="K894" s="135" t="s">
        <v>122</v>
      </c>
      <c r="L894" s="135">
        <v>461000603</v>
      </c>
      <c r="M894" s="151">
        <v>45640</v>
      </c>
      <c r="N894" s="152">
        <v>45639.739583333336</v>
      </c>
      <c r="O894" s="152">
        <v>45639.739583333336</v>
      </c>
      <c r="P894" s="152">
        <v>45639.753472222219</v>
      </c>
      <c r="Q894" s="152">
        <v>45639.895833333336</v>
      </c>
      <c r="R894" s="152" t="s">
        <v>118</v>
      </c>
      <c r="S894" s="152" t="s">
        <v>118</v>
      </c>
      <c r="T894" s="152">
        <v>45639.972222222219</v>
      </c>
      <c r="U894" s="152">
        <v>45640.142361111109</v>
      </c>
      <c r="V894" s="219">
        <f t="shared" si="540"/>
        <v>0.15625</v>
      </c>
      <c r="W894" s="203">
        <v>0.20833333333333334</v>
      </c>
      <c r="X894" s="219" t="str">
        <f t="shared" si="541"/>
        <v>00:00</v>
      </c>
      <c r="Y894" s="96">
        <v>0</v>
      </c>
      <c r="Z894" s="96">
        <v>58</v>
      </c>
      <c r="AA894" s="96">
        <f t="shared" si="511"/>
        <v>58</v>
      </c>
      <c r="AB894" s="97">
        <f t="shared" si="512"/>
        <v>0</v>
      </c>
      <c r="AC894" s="97">
        <f t="shared" si="513"/>
        <v>4011.1200000000003</v>
      </c>
      <c r="AD894" s="98">
        <v>4011.12</v>
      </c>
      <c r="AE894" s="98">
        <v>4021.9</v>
      </c>
      <c r="AF894" s="98">
        <v>4042.4</v>
      </c>
      <c r="AG894" s="98">
        <f t="shared" si="514"/>
        <v>31.2800000000002</v>
      </c>
      <c r="AH894" s="99">
        <v>672.5</v>
      </c>
      <c r="AI894" s="100">
        <f t="shared" si="515"/>
        <v>2718514</v>
      </c>
      <c r="AJ894" s="100">
        <f t="shared" si="538"/>
        <v>0</v>
      </c>
      <c r="AK894" s="100">
        <v>0</v>
      </c>
      <c r="AL894" s="100">
        <v>24140</v>
      </c>
      <c r="AM894" s="100">
        <v>0</v>
      </c>
      <c r="AN894" s="100">
        <v>0</v>
      </c>
      <c r="AO894" s="100">
        <v>0</v>
      </c>
      <c r="AP894" s="100">
        <f t="shared" si="539"/>
        <v>137133</v>
      </c>
      <c r="AQ894" s="101">
        <f t="shared" si="528"/>
        <v>2879787</v>
      </c>
      <c r="AR894" s="101">
        <v>0</v>
      </c>
      <c r="AS894" s="101">
        <v>0</v>
      </c>
      <c r="AT894" s="102" t="s">
        <v>33</v>
      </c>
      <c r="AU894" s="109">
        <v>10</v>
      </c>
      <c r="AV894" s="100">
        <f>24.69-18.19</f>
        <v>6.5</v>
      </c>
      <c r="AW894" s="105">
        <v>0</v>
      </c>
      <c r="AX894" s="216">
        <f t="shared" si="542"/>
        <v>0.77379774391451117</v>
      </c>
      <c r="AY894" s="217">
        <f t="shared" si="543"/>
        <v>21036</v>
      </c>
      <c r="AZ894" s="107"/>
      <c r="BA894" s="94">
        <v>45639.739583333336</v>
      </c>
      <c r="BB894" s="94">
        <v>45639.753472222219</v>
      </c>
      <c r="BC894" s="94">
        <v>45639.756944444445</v>
      </c>
      <c r="BD894" s="94">
        <v>45639.871527777781</v>
      </c>
      <c r="BE894" s="95">
        <f t="shared" si="544"/>
        <v>0.13194444444525288</v>
      </c>
      <c r="BF894" s="95">
        <v>3.472222222222222E-3</v>
      </c>
      <c r="BG894" s="95">
        <v>0</v>
      </c>
      <c r="BH894" s="95">
        <f t="shared" si="545"/>
        <v>1.3888888883229811E-2</v>
      </c>
      <c r="BI894" s="95">
        <f t="shared" si="545"/>
        <v>3.4722222262644209E-3</v>
      </c>
      <c r="BJ894" s="95">
        <f t="shared" si="545"/>
        <v>0.11458333333575865</v>
      </c>
      <c r="BK894" s="95">
        <f t="shared" si="546"/>
        <v>0.11805555556202307</v>
      </c>
      <c r="BL894" s="95">
        <f t="shared" si="547"/>
        <v>0.11458333333980085</v>
      </c>
      <c r="BM894" s="95" t="str">
        <f t="shared" si="548"/>
        <v>00:00</v>
      </c>
      <c r="BN894" s="110"/>
    </row>
    <row r="895" spans="1:66" s="8" customFormat="1" ht="12.75" customHeight="1" x14ac:dyDescent="0.25">
      <c r="A895" s="150">
        <v>820</v>
      </c>
      <c r="B895" s="150">
        <v>46</v>
      </c>
      <c r="C895" s="90">
        <v>4</v>
      </c>
      <c r="D895" s="111" t="s">
        <v>113</v>
      </c>
      <c r="E895" s="210" t="s">
        <v>985</v>
      </c>
      <c r="F895" s="150" t="s">
        <v>27</v>
      </c>
      <c r="G895" s="150" t="s">
        <v>12</v>
      </c>
      <c r="H895" s="150" t="s">
        <v>115</v>
      </c>
      <c r="I895" s="150" t="s">
        <v>1008</v>
      </c>
      <c r="J895" s="151">
        <v>45639</v>
      </c>
      <c r="K895" s="135" t="s">
        <v>117</v>
      </c>
      <c r="L895" s="135">
        <v>282001076</v>
      </c>
      <c r="M895" s="151">
        <v>45640</v>
      </c>
      <c r="N895" s="152">
        <v>45640.083333333336</v>
      </c>
      <c r="O895" s="152">
        <v>45640.083333333336</v>
      </c>
      <c r="P895" s="152">
        <v>45640.090277777781</v>
      </c>
      <c r="Q895" s="152">
        <v>45640.291666666664</v>
      </c>
      <c r="R895" s="152" t="s">
        <v>118</v>
      </c>
      <c r="S895" s="152">
        <v>45640.322916666664</v>
      </c>
      <c r="T895" s="152">
        <v>45640.395833333336</v>
      </c>
      <c r="U895" s="152">
        <v>45640.503472222219</v>
      </c>
      <c r="V895" s="219">
        <f t="shared" si="540"/>
        <v>0.20833333332848269</v>
      </c>
      <c r="W895" s="203">
        <v>0.20833333333333334</v>
      </c>
      <c r="X895" s="219" t="str">
        <f t="shared" si="541"/>
        <v>00:00</v>
      </c>
      <c r="Y895" s="96">
        <v>0</v>
      </c>
      <c r="Z895" s="96">
        <v>58</v>
      </c>
      <c r="AA895" s="96">
        <f t="shared" si="511"/>
        <v>58</v>
      </c>
      <c r="AB895" s="97">
        <f t="shared" si="512"/>
        <v>0</v>
      </c>
      <c r="AC895" s="97">
        <f t="shared" si="513"/>
        <v>3987.0900000000006</v>
      </c>
      <c r="AD895" s="98">
        <v>3987.09</v>
      </c>
      <c r="AE895" s="98">
        <v>4028.8</v>
      </c>
      <c r="AF895" s="98">
        <v>4041.4</v>
      </c>
      <c r="AG895" s="98">
        <f t="shared" si="514"/>
        <v>54.309999999999945</v>
      </c>
      <c r="AH895" s="99">
        <v>1586.7</v>
      </c>
      <c r="AI895" s="100">
        <f t="shared" si="515"/>
        <v>6412489.3799999999</v>
      </c>
      <c r="AJ895" s="100">
        <f t="shared" si="538"/>
        <v>0</v>
      </c>
      <c r="AK895" s="100">
        <v>0</v>
      </c>
      <c r="AL895" s="100">
        <v>24140</v>
      </c>
      <c r="AM895" s="100">
        <v>0</v>
      </c>
      <c r="AN895" s="100">
        <v>0</v>
      </c>
      <c r="AO895" s="100">
        <f>IFERROR(AF895*20+(((AJ895/AH895)/2)*20),0)</f>
        <v>80828</v>
      </c>
      <c r="AP895" s="100">
        <f t="shared" si="539"/>
        <v>325873</v>
      </c>
      <c r="AQ895" s="101">
        <f t="shared" si="528"/>
        <v>6843331</v>
      </c>
      <c r="AR895" s="101">
        <v>0</v>
      </c>
      <c r="AS895" s="101">
        <v>0</v>
      </c>
      <c r="AT895" s="102" t="s">
        <v>33</v>
      </c>
      <c r="AU895" s="109">
        <v>7</v>
      </c>
      <c r="AV895" s="100">
        <f>15.47-10.47</f>
        <v>5</v>
      </c>
      <c r="AW895" s="105">
        <v>1</v>
      </c>
      <c r="AX895" s="216">
        <f t="shared" si="542"/>
        <v>1.3438412431335662</v>
      </c>
      <c r="AY895" s="217">
        <f t="shared" si="543"/>
        <v>86174</v>
      </c>
      <c r="AZ895" s="107"/>
      <c r="BA895" s="94">
        <v>45640.083333333336</v>
      </c>
      <c r="BB895" s="94">
        <v>45640.090277777781</v>
      </c>
      <c r="BC895" s="94">
        <v>45640.09375</v>
      </c>
      <c r="BD895" s="94">
        <v>45640.313888888886</v>
      </c>
      <c r="BE895" s="95">
        <f t="shared" si="544"/>
        <v>0.23055555555038154</v>
      </c>
      <c r="BF895" s="95">
        <v>1.5277777777777777E-2</v>
      </c>
      <c r="BG895" s="95">
        <v>9.5138888888888884E-2</v>
      </c>
      <c r="BH895" s="95">
        <f t="shared" si="545"/>
        <v>6.9444444452528842E-3</v>
      </c>
      <c r="BI895" s="95">
        <f t="shared" si="545"/>
        <v>3.4722222189884633E-3</v>
      </c>
      <c r="BJ895" s="95">
        <f t="shared" si="545"/>
        <v>0.22013888888614019</v>
      </c>
      <c r="BK895" s="95">
        <f t="shared" si="546"/>
        <v>0.22361111110512866</v>
      </c>
      <c r="BL895" s="95">
        <f t="shared" si="547"/>
        <v>0.11319444443846199</v>
      </c>
      <c r="BM895" s="95">
        <f t="shared" si="548"/>
        <v>2.2222222217048199E-2</v>
      </c>
      <c r="BN895" s="110"/>
    </row>
    <row r="896" spans="1:66" s="8" customFormat="1" ht="12.75" customHeight="1" x14ac:dyDescent="0.25">
      <c r="A896" s="150">
        <v>821</v>
      </c>
      <c r="B896" s="150">
        <v>47</v>
      </c>
      <c r="C896" s="90">
        <v>9</v>
      </c>
      <c r="D896" s="111" t="s">
        <v>148</v>
      </c>
      <c r="E896" s="210" t="s">
        <v>1000</v>
      </c>
      <c r="F896" s="150" t="s">
        <v>19</v>
      </c>
      <c r="G896" s="150" t="s">
        <v>17</v>
      </c>
      <c r="H896" s="150" t="s">
        <v>150</v>
      </c>
      <c r="I896" s="150" t="s">
        <v>423</v>
      </c>
      <c r="J896" s="151">
        <v>45638</v>
      </c>
      <c r="K896" s="135" t="s">
        <v>122</v>
      </c>
      <c r="L896" s="135">
        <v>461000604</v>
      </c>
      <c r="M896" s="151">
        <v>45640</v>
      </c>
      <c r="N896" s="152">
        <v>45640.229166666664</v>
      </c>
      <c r="O896" s="152">
        <v>45640.229166666664</v>
      </c>
      <c r="P896" s="152">
        <v>45640.232638888891</v>
      </c>
      <c r="Q896" s="152">
        <v>45640.4375</v>
      </c>
      <c r="R896" s="152" t="s">
        <v>118</v>
      </c>
      <c r="S896" s="152">
        <v>45640.465277777781</v>
      </c>
      <c r="T896" s="152">
        <v>45640.520833333336</v>
      </c>
      <c r="U896" s="152">
        <v>45640.638888888891</v>
      </c>
      <c r="V896" s="219">
        <f t="shared" si="540"/>
        <v>0.20833333333575865</v>
      </c>
      <c r="W896" s="203">
        <v>0.20833333333333334</v>
      </c>
      <c r="X896" s="219">
        <f t="shared" si="541"/>
        <v>2.4253099528692701E-12</v>
      </c>
      <c r="Y896" s="96">
        <v>0</v>
      </c>
      <c r="Z896" s="96">
        <v>58</v>
      </c>
      <c r="AA896" s="96">
        <f t="shared" si="511"/>
        <v>58</v>
      </c>
      <c r="AB896" s="97">
        <f t="shared" si="512"/>
        <v>0</v>
      </c>
      <c r="AC896" s="97">
        <f t="shared" si="513"/>
        <v>4065.14</v>
      </c>
      <c r="AD896" s="98">
        <v>4065.14</v>
      </c>
      <c r="AE896" s="98">
        <v>4053.6</v>
      </c>
      <c r="AF896" s="98">
        <v>4082</v>
      </c>
      <c r="AG896" s="98">
        <f t="shared" si="514"/>
        <v>16.860000000000127</v>
      </c>
      <c r="AH896" s="99">
        <v>672.5</v>
      </c>
      <c r="AI896" s="100">
        <f t="shared" si="515"/>
        <v>2745145</v>
      </c>
      <c r="AJ896" s="100">
        <f t="shared" si="538"/>
        <v>0</v>
      </c>
      <c r="AK896" s="100">
        <v>0</v>
      </c>
      <c r="AL896" s="100">
        <v>24140</v>
      </c>
      <c r="AM896" s="100">
        <v>0</v>
      </c>
      <c r="AN896" s="100">
        <v>0</v>
      </c>
      <c r="AO896" s="100">
        <v>0</v>
      </c>
      <c r="AP896" s="100">
        <f t="shared" si="539"/>
        <v>138465</v>
      </c>
      <c r="AQ896" s="101">
        <f t="shared" si="528"/>
        <v>2907750</v>
      </c>
      <c r="AR896" s="101">
        <v>0</v>
      </c>
      <c r="AS896" s="101">
        <v>0</v>
      </c>
      <c r="AT896" s="102" t="s">
        <v>33</v>
      </c>
      <c r="AU896" s="109">
        <v>15</v>
      </c>
      <c r="AV896" s="100">
        <f>35.47-25.47</f>
        <v>10</v>
      </c>
      <c r="AW896" s="105">
        <v>1</v>
      </c>
      <c r="AX896" s="216">
        <f t="shared" si="542"/>
        <v>0.41303282704556898</v>
      </c>
      <c r="AY896" s="217">
        <f t="shared" si="543"/>
        <v>11339</v>
      </c>
      <c r="AZ896" s="107"/>
      <c r="BA896" s="94">
        <v>45640.229166666664</v>
      </c>
      <c r="BB896" s="94">
        <v>45640.232638888891</v>
      </c>
      <c r="BC896" s="94">
        <v>45640.34375</v>
      </c>
      <c r="BD896" s="94">
        <v>45640.454861111109</v>
      </c>
      <c r="BE896" s="95">
        <f t="shared" si="544"/>
        <v>0.22569444444525288</v>
      </c>
      <c r="BF896" s="95">
        <v>2.0833333333333332E-2</v>
      </c>
      <c r="BG896" s="95">
        <v>9.375E-2</v>
      </c>
      <c r="BH896" s="95">
        <f t="shared" si="545"/>
        <v>3.4722222262644209E-3</v>
      </c>
      <c r="BI896" s="95">
        <f t="shared" si="545"/>
        <v>0.11111111110949423</v>
      </c>
      <c r="BJ896" s="95">
        <f t="shared" si="545"/>
        <v>0.11111111110949423</v>
      </c>
      <c r="BK896" s="95">
        <f t="shared" si="546"/>
        <v>0.22222222221898846</v>
      </c>
      <c r="BL896" s="95">
        <f t="shared" si="547"/>
        <v>0.10763888888565512</v>
      </c>
      <c r="BM896" s="95">
        <f t="shared" si="548"/>
        <v>1.7361111111919542E-2</v>
      </c>
      <c r="BN896" s="110"/>
    </row>
    <row r="897" spans="1:66" s="8" customFormat="1" ht="12.75" customHeight="1" x14ac:dyDescent="0.25">
      <c r="A897" s="150">
        <v>822</v>
      </c>
      <c r="B897" s="150">
        <v>48</v>
      </c>
      <c r="C897" s="90">
        <v>3</v>
      </c>
      <c r="D897" s="111" t="s">
        <v>113</v>
      </c>
      <c r="E897" s="210" t="s">
        <v>996</v>
      </c>
      <c r="F897" s="150" t="s">
        <v>29</v>
      </c>
      <c r="G897" s="150" t="s">
        <v>15</v>
      </c>
      <c r="H897" s="150" t="s">
        <v>124</v>
      </c>
      <c r="I897" s="150" t="s">
        <v>1009</v>
      </c>
      <c r="J897" s="151"/>
      <c r="K897" s="135" t="s">
        <v>117</v>
      </c>
      <c r="L897" s="135">
        <v>461000605</v>
      </c>
      <c r="M897" s="151">
        <v>45640</v>
      </c>
      <c r="N897" s="152">
        <v>45640.5625</v>
      </c>
      <c r="O897" s="152">
        <v>45640.5625</v>
      </c>
      <c r="P897" s="152">
        <v>45640.572916666664</v>
      </c>
      <c r="Q897" s="152">
        <v>45640.770833333336</v>
      </c>
      <c r="R897" s="152" t="s">
        <v>118</v>
      </c>
      <c r="S897" s="152" t="s">
        <v>118</v>
      </c>
      <c r="T897" s="152">
        <v>45640.833333333336</v>
      </c>
      <c r="U897" s="152">
        <v>45640.95208333333</v>
      </c>
      <c r="V897" s="219">
        <f t="shared" si="540"/>
        <v>0.20833333333575865</v>
      </c>
      <c r="W897" s="203">
        <v>0.20833333333333334</v>
      </c>
      <c r="X897" s="219">
        <f t="shared" si="541"/>
        <v>2.4253099528692701E-12</v>
      </c>
      <c r="Y897" s="96">
        <v>0</v>
      </c>
      <c r="Z897" s="96">
        <v>58</v>
      </c>
      <c r="AA897" s="96">
        <f t="shared" si="511"/>
        <v>58</v>
      </c>
      <c r="AB897" s="97">
        <f t="shared" si="512"/>
        <v>0</v>
      </c>
      <c r="AC897" s="97">
        <f t="shared" si="513"/>
        <v>3945.31</v>
      </c>
      <c r="AD897" s="98">
        <v>3945.31</v>
      </c>
      <c r="AE897" s="98">
        <v>4029.8</v>
      </c>
      <c r="AF897" s="98">
        <v>4033.4</v>
      </c>
      <c r="AG897" s="98">
        <f t="shared" si="514"/>
        <v>88.090000000000146</v>
      </c>
      <c r="AH897" s="99">
        <v>797.2</v>
      </c>
      <c r="AI897" s="100">
        <f t="shared" si="515"/>
        <v>3215426.4800000004</v>
      </c>
      <c r="AJ897" s="100">
        <f>(0.8*AH897)*2</f>
        <v>1275.5200000000002</v>
      </c>
      <c r="AK897" s="100">
        <v>0</v>
      </c>
      <c r="AL897" s="100">
        <v>0</v>
      </c>
      <c r="AM897" s="100">
        <v>0</v>
      </c>
      <c r="AN897" s="100">
        <v>0</v>
      </c>
      <c r="AO897" s="100">
        <v>0</v>
      </c>
      <c r="AP897" s="100">
        <f t="shared" si="539"/>
        <v>160836</v>
      </c>
      <c r="AQ897" s="101">
        <f t="shared" si="528"/>
        <v>3377538</v>
      </c>
      <c r="AR897" s="101">
        <v>0</v>
      </c>
      <c r="AS897" s="101">
        <v>0</v>
      </c>
      <c r="AT897" s="102" t="s">
        <v>33</v>
      </c>
      <c r="AU897" s="109" t="s">
        <v>118</v>
      </c>
      <c r="AV897" s="100">
        <v>0</v>
      </c>
      <c r="AW897" s="105">
        <v>0</v>
      </c>
      <c r="AX897" s="216">
        <f t="shared" si="542"/>
        <v>2.1840134873803771</v>
      </c>
      <c r="AY897" s="217">
        <f t="shared" si="543"/>
        <v>70226</v>
      </c>
      <c r="AZ897" s="107"/>
      <c r="BA897" s="94">
        <v>45640.5625</v>
      </c>
      <c r="BB897" s="94">
        <v>45640.572916666664</v>
      </c>
      <c r="BC897" s="94">
        <v>45640.586805555555</v>
      </c>
      <c r="BD897" s="94">
        <v>45640.744444444441</v>
      </c>
      <c r="BE897" s="95">
        <f t="shared" si="544"/>
        <v>0.18194444444088731</v>
      </c>
      <c r="BF897" s="95">
        <v>1.3888888888888888E-2</v>
      </c>
      <c r="BG897" s="95">
        <v>3.9583333333333331E-2</v>
      </c>
      <c r="BH897" s="95">
        <f t="shared" si="545"/>
        <v>1.0416666664241347E-2</v>
      </c>
      <c r="BI897" s="95">
        <f t="shared" si="545"/>
        <v>1.3888888890505768E-2</v>
      </c>
      <c r="BJ897" s="95">
        <f t="shared" si="545"/>
        <v>0.15763888888614019</v>
      </c>
      <c r="BK897" s="95">
        <f t="shared" si="546"/>
        <v>0.17152777777664596</v>
      </c>
      <c r="BL897" s="95">
        <f t="shared" si="547"/>
        <v>0.11805555555442374</v>
      </c>
      <c r="BM897" s="95" t="str">
        <f t="shared" si="548"/>
        <v>00:00</v>
      </c>
      <c r="BN897" s="110"/>
    </row>
    <row r="898" spans="1:66" s="8" customFormat="1" ht="12.75" customHeight="1" x14ac:dyDescent="0.25">
      <c r="A898" s="150">
        <v>823</v>
      </c>
      <c r="B898" s="150">
        <v>49</v>
      </c>
      <c r="C898" s="90">
        <v>9</v>
      </c>
      <c r="D898" s="111" t="s">
        <v>113</v>
      </c>
      <c r="E898" s="210" t="s">
        <v>956</v>
      </c>
      <c r="F898" s="150" t="s">
        <v>41</v>
      </c>
      <c r="G898" s="150" t="s">
        <v>12</v>
      </c>
      <c r="H898" s="150" t="s">
        <v>115</v>
      </c>
      <c r="I898" s="150" t="s">
        <v>1010</v>
      </c>
      <c r="J898" s="151">
        <v>45640</v>
      </c>
      <c r="K898" s="135" t="s">
        <v>122</v>
      </c>
      <c r="L898" s="135">
        <v>282001077</v>
      </c>
      <c r="M898" s="151">
        <v>45641</v>
      </c>
      <c r="N898" s="152">
        <v>45640.819444444445</v>
      </c>
      <c r="O898" s="152">
        <v>45640.8125</v>
      </c>
      <c r="P898" s="152">
        <v>45640.836805555555</v>
      </c>
      <c r="Q898" s="152">
        <v>45640.989583333336</v>
      </c>
      <c r="R898" s="152">
        <v>45640.819444444445</v>
      </c>
      <c r="S898" s="152" t="s">
        <v>118</v>
      </c>
      <c r="T898" s="152">
        <v>45641.072916666664</v>
      </c>
      <c r="U898" s="152">
        <v>45641.180555555555</v>
      </c>
      <c r="V898" s="219">
        <f t="shared" si="540"/>
        <v>0.17708333333575865</v>
      </c>
      <c r="W898" s="203">
        <v>0.20833333333333334</v>
      </c>
      <c r="X898" s="219" t="str">
        <f t="shared" si="541"/>
        <v>00:00</v>
      </c>
      <c r="Y898" s="96">
        <v>0</v>
      </c>
      <c r="Z898" s="96">
        <v>59</v>
      </c>
      <c r="AA898" s="96">
        <f t="shared" si="511"/>
        <v>59</v>
      </c>
      <c r="AB898" s="97">
        <f t="shared" si="512"/>
        <v>0</v>
      </c>
      <c r="AC898" s="97">
        <f t="shared" si="513"/>
        <v>4006.5000000000005</v>
      </c>
      <c r="AD898" s="98">
        <v>4006.5</v>
      </c>
      <c r="AE898" s="98">
        <v>4099.3</v>
      </c>
      <c r="AF898" s="98">
        <v>4106</v>
      </c>
      <c r="AG898" s="98">
        <f t="shared" si="514"/>
        <v>99.5</v>
      </c>
      <c r="AH898" s="99">
        <v>1586.7</v>
      </c>
      <c r="AI898" s="100">
        <f t="shared" si="515"/>
        <v>6514990.2000000002</v>
      </c>
      <c r="AJ898" s="100">
        <f>(0*AH898)*2</f>
        <v>0</v>
      </c>
      <c r="AK898" s="100">
        <v>0</v>
      </c>
      <c r="AL898" s="100">
        <v>26230</v>
      </c>
      <c r="AM898" s="100">
        <v>0</v>
      </c>
      <c r="AN898" s="100">
        <v>0</v>
      </c>
      <c r="AO898" s="100">
        <f>IFERROR(AF898*20+(((AJ898/AH898)/2)*20),0)</f>
        <v>82120</v>
      </c>
      <c r="AP898" s="100">
        <f t="shared" si="539"/>
        <v>331168</v>
      </c>
      <c r="AQ898" s="101">
        <f t="shared" si="528"/>
        <v>6954509</v>
      </c>
      <c r="AR898" s="101">
        <v>0</v>
      </c>
      <c r="AS898" s="101">
        <v>0</v>
      </c>
      <c r="AT898" s="102" t="s">
        <v>33</v>
      </c>
      <c r="AU898" s="109">
        <v>1</v>
      </c>
      <c r="AV898" s="100">
        <f>7.4-6.4</f>
        <v>1</v>
      </c>
      <c r="AW898" s="105">
        <v>0</v>
      </c>
      <c r="AX898" s="216">
        <f t="shared" si="542"/>
        <v>2.4232830004870918</v>
      </c>
      <c r="AY898" s="217">
        <f t="shared" si="543"/>
        <v>157877</v>
      </c>
      <c r="AZ898" s="107"/>
      <c r="BA898" s="94">
        <v>45640.819444444445</v>
      </c>
      <c r="BB898" s="94">
        <v>45640.836805555555</v>
      </c>
      <c r="BC898" s="94">
        <v>45640.840277777781</v>
      </c>
      <c r="BD898" s="94">
        <v>45640.98541666667</v>
      </c>
      <c r="BE898" s="95">
        <f t="shared" si="544"/>
        <v>0.16597222222480923</v>
      </c>
      <c r="BF898" s="95">
        <v>0</v>
      </c>
      <c r="BG898" s="95">
        <v>3.472222222222222E-3</v>
      </c>
      <c r="BH898" s="95">
        <f t="shared" si="545"/>
        <v>1.7361111109494232E-2</v>
      </c>
      <c r="BI898" s="95">
        <f t="shared" si="545"/>
        <v>3.4722222262644209E-3</v>
      </c>
      <c r="BJ898" s="95">
        <f t="shared" si="545"/>
        <v>0.14513888888905058</v>
      </c>
      <c r="BK898" s="95">
        <f t="shared" si="546"/>
        <v>0.148611111115315</v>
      </c>
      <c r="BL898" s="95">
        <f t="shared" si="547"/>
        <v>0.14513888889309279</v>
      </c>
      <c r="BM898" s="95" t="str">
        <f t="shared" si="548"/>
        <v>00:00</v>
      </c>
      <c r="BN898" s="110"/>
    </row>
    <row r="899" spans="1:66" s="8" customFormat="1" ht="12.75" customHeight="1" x14ac:dyDescent="0.25">
      <c r="A899" s="150">
        <v>824</v>
      </c>
      <c r="B899" s="150">
        <v>50</v>
      </c>
      <c r="C899" s="90">
        <v>11</v>
      </c>
      <c r="D899" s="111" t="s">
        <v>113</v>
      </c>
      <c r="E899" s="210" t="s">
        <v>943</v>
      </c>
      <c r="F899" s="150" t="s">
        <v>32</v>
      </c>
      <c r="G899" s="150" t="s">
        <v>15</v>
      </c>
      <c r="H899" s="150" t="s">
        <v>146</v>
      </c>
      <c r="I899" s="150" t="s">
        <v>1011</v>
      </c>
      <c r="J899" s="151">
        <v>45640</v>
      </c>
      <c r="K899" s="135" t="s">
        <v>117</v>
      </c>
      <c r="L899" s="135">
        <v>261006131</v>
      </c>
      <c r="M899" s="151">
        <v>45641</v>
      </c>
      <c r="N899" s="152">
        <v>45641.083333333336</v>
      </c>
      <c r="O899" s="152">
        <v>45641.083333333336</v>
      </c>
      <c r="P899" s="152">
        <v>45641.114583333336</v>
      </c>
      <c r="Q899" s="152">
        <v>45641.291666666664</v>
      </c>
      <c r="R899" s="152" t="s">
        <v>118</v>
      </c>
      <c r="S899" s="152" t="s">
        <v>118</v>
      </c>
      <c r="T899" s="152">
        <v>45641.375</v>
      </c>
      <c r="U899" s="152">
        <v>45641.492361111108</v>
      </c>
      <c r="V899" s="219">
        <f t="shared" si="540"/>
        <v>0.20833333332848269</v>
      </c>
      <c r="W899" s="203">
        <v>0.20833333333333334</v>
      </c>
      <c r="X899" s="219" t="str">
        <f t="shared" si="541"/>
        <v>00:00</v>
      </c>
      <c r="Y899" s="96">
        <v>0</v>
      </c>
      <c r="Z899" s="96">
        <v>59</v>
      </c>
      <c r="AA899" s="96">
        <f t="shared" si="511"/>
        <v>59</v>
      </c>
      <c r="AB899" s="97">
        <f t="shared" si="512"/>
        <v>0</v>
      </c>
      <c r="AC899" s="97">
        <f t="shared" si="513"/>
        <v>3945.6600000000003</v>
      </c>
      <c r="AD899" s="98">
        <v>3945.66</v>
      </c>
      <c r="AE899" s="98">
        <v>4107</v>
      </c>
      <c r="AF899" s="98">
        <v>4107</v>
      </c>
      <c r="AG899" s="98">
        <f t="shared" si="514"/>
        <v>161.34000000000015</v>
      </c>
      <c r="AH899" s="99">
        <v>1398.7</v>
      </c>
      <c r="AI899" s="100">
        <f t="shared" si="515"/>
        <v>5744460.9000000004</v>
      </c>
      <c r="AJ899" s="100">
        <f>(0*AH899)*2</f>
        <v>0</v>
      </c>
      <c r="AK899" s="100">
        <v>0</v>
      </c>
      <c r="AL899" s="100">
        <v>0</v>
      </c>
      <c r="AM899" s="100">
        <v>0</v>
      </c>
      <c r="AN899" s="100">
        <v>0</v>
      </c>
      <c r="AO899" s="100">
        <v>0</v>
      </c>
      <c r="AP899" s="100">
        <f t="shared" si="539"/>
        <v>287224</v>
      </c>
      <c r="AQ899" s="101">
        <f t="shared" si="528"/>
        <v>6031685</v>
      </c>
      <c r="AR899" s="101">
        <v>0</v>
      </c>
      <c r="AS899" s="101">
        <v>0</v>
      </c>
      <c r="AT899" s="102" t="s">
        <v>33</v>
      </c>
      <c r="AU899" s="109" t="s">
        <v>118</v>
      </c>
      <c r="AV899" s="100">
        <v>0</v>
      </c>
      <c r="AW899" s="105">
        <v>0</v>
      </c>
      <c r="AX899" s="216">
        <f t="shared" si="542"/>
        <v>3.9284149013878777</v>
      </c>
      <c r="AY899" s="217">
        <f t="shared" si="543"/>
        <v>225667</v>
      </c>
      <c r="AZ899" s="107"/>
      <c r="BA899" s="94">
        <v>45641.083333333336</v>
      </c>
      <c r="BB899" s="94">
        <v>45641.114583333336</v>
      </c>
      <c r="BC899" s="94">
        <v>45641.121527777781</v>
      </c>
      <c r="BD899" s="94">
        <v>45641.298611111109</v>
      </c>
      <c r="BE899" s="95">
        <f t="shared" si="544"/>
        <v>0.21527777777373558</v>
      </c>
      <c r="BF899" s="95">
        <v>6.2500000000000003E-3</v>
      </c>
      <c r="BG899" s="95">
        <v>5.9027777777777776E-2</v>
      </c>
      <c r="BH899" s="95">
        <f t="shared" si="545"/>
        <v>3.125E-2</v>
      </c>
      <c r="BI899" s="95">
        <f t="shared" si="545"/>
        <v>6.9444444452528842E-3</v>
      </c>
      <c r="BJ899" s="95">
        <f t="shared" si="545"/>
        <v>0.17708333332848269</v>
      </c>
      <c r="BK899" s="95">
        <f t="shared" si="546"/>
        <v>0.18402777777373558</v>
      </c>
      <c r="BL899" s="95">
        <f t="shared" si="547"/>
        <v>0.1187499999959578</v>
      </c>
      <c r="BM899" s="95">
        <f t="shared" si="548"/>
        <v>6.9444444404022365E-3</v>
      </c>
      <c r="BN899" s="110"/>
    </row>
    <row r="900" spans="1:66" s="8" customFormat="1" ht="12.75" customHeight="1" x14ac:dyDescent="0.25">
      <c r="A900" s="150">
        <v>825</v>
      </c>
      <c r="B900" s="150">
        <v>51</v>
      </c>
      <c r="C900" s="90">
        <v>10</v>
      </c>
      <c r="D900" s="111" t="s">
        <v>148</v>
      </c>
      <c r="E900" s="210" t="s">
        <v>1000</v>
      </c>
      <c r="F900" s="150" t="s">
        <v>19</v>
      </c>
      <c r="G900" s="150" t="s">
        <v>17</v>
      </c>
      <c r="H900" s="150" t="s">
        <v>150</v>
      </c>
      <c r="I900" s="150" t="s">
        <v>427</v>
      </c>
      <c r="J900" s="151">
        <v>45638</v>
      </c>
      <c r="K900" s="135" t="s">
        <v>122</v>
      </c>
      <c r="L900" s="135">
        <v>461000606</v>
      </c>
      <c r="M900" s="151">
        <v>45641</v>
      </c>
      <c r="N900" s="152">
        <v>45641.375</v>
      </c>
      <c r="O900" s="152">
        <v>45641.375</v>
      </c>
      <c r="P900" s="152">
        <v>45641.385416666664</v>
      </c>
      <c r="Q900" s="152">
        <v>45641.541666666664</v>
      </c>
      <c r="R900" s="152" t="s">
        <v>118</v>
      </c>
      <c r="S900" s="152" t="s">
        <v>118</v>
      </c>
      <c r="T900" s="152">
        <v>45641.604166666664</v>
      </c>
      <c r="U900" s="152">
        <v>45641.71875</v>
      </c>
      <c r="V900" s="219">
        <f t="shared" si="540"/>
        <v>0.16666666666424135</v>
      </c>
      <c r="W900" s="203">
        <v>0.20833333333333334</v>
      </c>
      <c r="X900" s="219" t="str">
        <f t="shared" si="541"/>
        <v>00:00</v>
      </c>
      <c r="Y900" s="96">
        <v>0</v>
      </c>
      <c r="Z900" s="96">
        <v>59</v>
      </c>
      <c r="AA900" s="96">
        <f t="shared" si="511"/>
        <v>59</v>
      </c>
      <c r="AB900" s="97">
        <f t="shared" si="512"/>
        <v>0</v>
      </c>
      <c r="AC900" s="97">
        <f t="shared" si="513"/>
        <v>4078.7700000000004</v>
      </c>
      <c r="AD900" s="98">
        <v>4078.77</v>
      </c>
      <c r="AE900" s="98">
        <v>4105</v>
      </c>
      <c r="AF900" s="98">
        <v>4117.2</v>
      </c>
      <c r="AG900" s="98">
        <f t="shared" si="514"/>
        <v>38.429999999999836</v>
      </c>
      <c r="AH900" s="99">
        <v>672.5</v>
      </c>
      <c r="AI900" s="100">
        <f t="shared" si="515"/>
        <v>2768817</v>
      </c>
      <c r="AJ900" s="100">
        <f>(0*AH900)*2</f>
        <v>0</v>
      </c>
      <c r="AK900" s="100">
        <v>0</v>
      </c>
      <c r="AL900" s="100">
        <v>24290</v>
      </c>
      <c r="AM900" s="100">
        <v>0</v>
      </c>
      <c r="AN900" s="100">
        <v>0</v>
      </c>
      <c r="AO900" s="100">
        <v>0</v>
      </c>
      <c r="AP900" s="100">
        <f t="shared" si="539"/>
        <v>139656</v>
      </c>
      <c r="AQ900" s="101">
        <f t="shared" si="528"/>
        <v>2932763</v>
      </c>
      <c r="AR900" s="101">
        <v>0</v>
      </c>
      <c r="AS900" s="101">
        <v>0</v>
      </c>
      <c r="AT900" s="102" t="s">
        <v>33</v>
      </c>
      <c r="AU900" s="109">
        <v>5</v>
      </c>
      <c r="AV900" s="100">
        <f>13.94-10.94</f>
        <v>3</v>
      </c>
      <c r="AW900" s="105">
        <v>0</v>
      </c>
      <c r="AX900" s="216">
        <f t="shared" si="542"/>
        <v>0.9334013407169881</v>
      </c>
      <c r="AY900" s="217">
        <f t="shared" si="543"/>
        <v>25845</v>
      </c>
      <c r="AZ900" s="107"/>
      <c r="BA900" s="94">
        <v>45641.375</v>
      </c>
      <c r="BB900" s="94">
        <v>45641.385416666664</v>
      </c>
      <c r="BC900" s="94">
        <v>45641.385416666664</v>
      </c>
      <c r="BD900" s="94">
        <v>45641.513888888891</v>
      </c>
      <c r="BE900" s="95">
        <f t="shared" si="544"/>
        <v>0.13888888889050577</v>
      </c>
      <c r="BF900" s="95">
        <v>0</v>
      </c>
      <c r="BG900" s="95">
        <v>0</v>
      </c>
      <c r="BH900" s="95">
        <f t="shared" si="545"/>
        <v>1.0416666664241347E-2</v>
      </c>
      <c r="BI900" s="95">
        <f t="shared" si="545"/>
        <v>0</v>
      </c>
      <c r="BJ900" s="95">
        <f t="shared" si="545"/>
        <v>0.12847222222626442</v>
      </c>
      <c r="BK900" s="95">
        <f t="shared" si="546"/>
        <v>0.12847222222626442</v>
      </c>
      <c r="BL900" s="95">
        <f t="shared" si="547"/>
        <v>0.12847222222626442</v>
      </c>
      <c r="BM900" s="95" t="str">
        <f t="shared" si="548"/>
        <v>00:00</v>
      </c>
      <c r="BN900" s="110"/>
    </row>
    <row r="901" spans="1:66" s="8" customFormat="1" ht="12.75" customHeight="1" x14ac:dyDescent="0.25">
      <c r="A901" s="150">
        <v>826</v>
      </c>
      <c r="B901" s="150">
        <v>52</v>
      </c>
      <c r="C901" s="90">
        <v>4</v>
      </c>
      <c r="D901" s="111" t="s">
        <v>113</v>
      </c>
      <c r="E901" s="210" t="s">
        <v>996</v>
      </c>
      <c r="F901" s="150" t="s">
        <v>29</v>
      </c>
      <c r="G901" s="150" t="s">
        <v>15</v>
      </c>
      <c r="H901" s="150" t="s">
        <v>124</v>
      </c>
      <c r="I901" s="150" t="s">
        <v>1012</v>
      </c>
      <c r="J901" s="151">
        <v>45641</v>
      </c>
      <c r="K901" s="135" t="s">
        <v>117</v>
      </c>
      <c r="L901" s="135">
        <v>461000607</v>
      </c>
      <c r="M901" s="151">
        <v>45641</v>
      </c>
      <c r="N901" s="152">
        <v>45641.618055555555</v>
      </c>
      <c r="O901" s="152">
        <v>45641.618055555555</v>
      </c>
      <c r="P901" s="152">
        <v>45641.628472222219</v>
      </c>
      <c r="Q901" s="152">
        <v>45641.822916666664</v>
      </c>
      <c r="R901" s="152" t="s">
        <v>118</v>
      </c>
      <c r="S901" s="152" t="s">
        <v>118</v>
      </c>
      <c r="T901" s="152">
        <v>45641.847222222219</v>
      </c>
      <c r="U901" s="152">
        <v>45641.933333333334</v>
      </c>
      <c r="V901" s="219">
        <f t="shared" si="540"/>
        <v>0.20486111110949423</v>
      </c>
      <c r="W901" s="203">
        <v>0.20833333333333334</v>
      </c>
      <c r="X901" s="219" t="str">
        <f t="shared" si="541"/>
        <v>00:00</v>
      </c>
      <c r="Y901" s="96">
        <v>0</v>
      </c>
      <c r="Z901" s="96">
        <v>59</v>
      </c>
      <c r="AA901" s="96">
        <f t="shared" si="511"/>
        <v>59</v>
      </c>
      <c r="AB901" s="97">
        <f t="shared" si="512"/>
        <v>0</v>
      </c>
      <c r="AC901" s="97">
        <f t="shared" si="513"/>
        <v>3955.9700000000003</v>
      </c>
      <c r="AD901" s="98">
        <v>3955.97</v>
      </c>
      <c r="AE901" s="98">
        <v>4103.8</v>
      </c>
      <c r="AF901" s="98">
        <v>4103.8</v>
      </c>
      <c r="AG901" s="98">
        <f t="shared" si="514"/>
        <v>147.83000000000038</v>
      </c>
      <c r="AH901" s="99">
        <v>797.2</v>
      </c>
      <c r="AI901" s="100">
        <f t="shared" si="515"/>
        <v>3271549.3600000003</v>
      </c>
      <c r="AJ901" s="100">
        <f>(0*AH901)*2</f>
        <v>0</v>
      </c>
      <c r="AK901" s="100">
        <v>0</v>
      </c>
      <c r="AL901" s="100">
        <v>0</v>
      </c>
      <c r="AM901" s="100">
        <v>0</v>
      </c>
      <c r="AN901" s="100">
        <v>0</v>
      </c>
      <c r="AO901" s="100">
        <v>0</v>
      </c>
      <c r="AP901" s="100">
        <f t="shared" si="539"/>
        <v>163578</v>
      </c>
      <c r="AQ901" s="101">
        <f t="shared" si="528"/>
        <v>3435128</v>
      </c>
      <c r="AR901" s="101">
        <v>0</v>
      </c>
      <c r="AS901" s="101">
        <v>0</v>
      </c>
      <c r="AT901" s="102" t="s">
        <v>33</v>
      </c>
      <c r="AU901" s="109" t="s">
        <v>118</v>
      </c>
      <c r="AV901" s="100">
        <v>0</v>
      </c>
      <c r="AW901" s="105">
        <v>0</v>
      </c>
      <c r="AX901" s="216">
        <f t="shared" si="542"/>
        <v>3.6022710658414248</v>
      </c>
      <c r="AY901" s="217">
        <f t="shared" si="543"/>
        <v>117851</v>
      </c>
      <c r="AZ901" s="107"/>
      <c r="BA901" s="94">
        <v>45641.618055555555</v>
      </c>
      <c r="BB901" s="94">
        <v>45641.628472222219</v>
      </c>
      <c r="BC901" s="94">
        <v>45641.628472222219</v>
      </c>
      <c r="BD901" s="94">
        <v>45641.804166666669</v>
      </c>
      <c r="BE901" s="95">
        <f t="shared" si="544"/>
        <v>0.18611111111385981</v>
      </c>
      <c r="BF901" s="95">
        <v>6.2500000000000003E-3</v>
      </c>
      <c r="BG901" s="95">
        <v>5.2083333333333336E-2</v>
      </c>
      <c r="BH901" s="95">
        <f t="shared" si="545"/>
        <v>1.0416666664241347E-2</v>
      </c>
      <c r="BI901" s="95">
        <f t="shared" si="545"/>
        <v>0</v>
      </c>
      <c r="BJ901" s="95">
        <f t="shared" si="545"/>
        <v>0.17569444444961846</v>
      </c>
      <c r="BK901" s="95">
        <f t="shared" si="546"/>
        <v>0.17569444444961846</v>
      </c>
      <c r="BL901" s="95">
        <f t="shared" si="547"/>
        <v>0.11736111111628511</v>
      </c>
      <c r="BM901" s="95" t="str">
        <f t="shared" si="548"/>
        <v>00:00</v>
      </c>
      <c r="BN901" s="110"/>
    </row>
    <row r="902" spans="1:66" s="8" customFormat="1" ht="12.75" customHeight="1" x14ac:dyDescent="0.25">
      <c r="A902" s="150">
        <v>827</v>
      </c>
      <c r="B902" s="150">
        <v>53</v>
      </c>
      <c r="C902" s="90">
        <v>11</v>
      </c>
      <c r="D902" s="111" t="s">
        <v>148</v>
      </c>
      <c r="E902" s="210" t="s">
        <v>1000</v>
      </c>
      <c r="F902" s="150" t="s">
        <v>19</v>
      </c>
      <c r="G902" s="150" t="s">
        <v>17</v>
      </c>
      <c r="H902" s="150" t="s">
        <v>150</v>
      </c>
      <c r="I902" s="150" t="s">
        <v>428</v>
      </c>
      <c r="J902" s="151">
        <v>45638</v>
      </c>
      <c r="K902" s="135" t="s">
        <v>122</v>
      </c>
      <c r="L902" s="135">
        <v>461000608</v>
      </c>
      <c r="M902" s="151">
        <v>45642</v>
      </c>
      <c r="N902" s="152">
        <v>45641.770833333336</v>
      </c>
      <c r="O902" s="152">
        <v>45641.770833333336</v>
      </c>
      <c r="P902" s="152">
        <v>45641.774305555555</v>
      </c>
      <c r="Q902" s="152">
        <v>45641.958333333336</v>
      </c>
      <c r="R902" s="152" t="s">
        <v>118</v>
      </c>
      <c r="S902" s="152" t="s">
        <v>118</v>
      </c>
      <c r="T902" s="152">
        <v>45642.010416666664</v>
      </c>
      <c r="U902" s="152">
        <v>45642.053472222222</v>
      </c>
      <c r="V902" s="219">
        <f t="shared" si="540"/>
        <v>0.1875</v>
      </c>
      <c r="W902" s="203">
        <v>0.20833333333333334</v>
      </c>
      <c r="X902" s="219" t="str">
        <f t="shared" si="541"/>
        <v>00:00</v>
      </c>
      <c r="Y902" s="96">
        <v>0</v>
      </c>
      <c r="Z902" s="96">
        <v>59</v>
      </c>
      <c r="AA902" s="96">
        <f t="shared" si="511"/>
        <v>59</v>
      </c>
      <c r="AB902" s="97">
        <f t="shared" si="512"/>
        <v>0</v>
      </c>
      <c r="AC902" s="97">
        <f t="shared" si="513"/>
        <v>4011.24</v>
      </c>
      <c r="AD902" s="98">
        <v>4011.24</v>
      </c>
      <c r="AE902" s="98">
        <v>4094.7</v>
      </c>
      <c r="AF902" s="98">
        <v>4097.8</v>
      </c>
      <c r="AG902" s="98">
        <f t="shared" si="514"/>
        <v>86.5600000000004</v>
      </c>
      <c r="AH902" s="99">
        <v>672.5</v>
      </c>
      <c r="AI902" s="100">
        <f t="shared" si="515"/>
        <v>2755770.5</v>
      </c>
      <c r="AJ902" s="100">
        <f>(0.4*AH902)*2</f>
        <v>538</v>
      </c>
      <c r="AK902" s="100">
        <v>0</v>
      </c>
      <c r="AL902" s="100">
        <v>0</v>
      </c>
      <c r="AM902" s="100">
        <v>0</v>
      </c>
      <c r="AN902" s="100">
        <v>0</v>
      </c>
      <c r="AO902" s="100">
        <v>0</v>
      </c>
      <c r="AP902" s="100">
        <f t="shared" si="539"/>
        <v>137816</v>
      </c>
      <c r="AQ902" s="101">
        <f t="shared" si="528"/>
        <v>2894125</v>
      </c>
      <c r="AR902" s="101">
        <v>0</v>
      </c>
      <c r="AS902" s="101">
        <v>0</v>
      </c>
      <c r="AT902" s="102" t="s">
        <v>33</v>
      </c>
      <c r="AU902" s="109" t="s">
        <v>118</v>
      </c>
      <c r="AV902" s="100">
        <v>0</v>
      </c>
      <c r="AW902" s="105">
        <v>0</v>
      </c>
      <c r="AX902" s="216">
        <f t="shared" si="542"/>
        <v>2.11235296988629</v>
      </c>
      <c r="AY902" s="217">
        <f t="shared" si="543"/>
        <v>58212</v>
      </c>
      <c r="AZ902" s="107"/>
      <c r="BA902" s="94">
        <v>45641.770833333336</v>
      </c>
      <c r="BB902" s="94">
        <v>45641.774305555555</v>
      </c>
      <c r="BC902" s="94">
        <v>45641.811805555553</v>
      </c>
      <c r="BD902" s="94">
        <v>45641.943749999999</v>
      </c>
      <c r="BE902" s="95">
        <f t="shared" si="544"/>
        <v>0.17291666666278616</v>
      </c>
      <c r="BF902" s="95">
        <v>0</v>
      </c>
      <c r="BG902" s="95">
        <v>3.7499999999999999E-2</v>
      </c>
      <c r="BH902" s="95">
        <f t="shared" si="545"/>
        <v>3.4722222189884633E-3</v>
      </c>
      <c r="BI902" s="95">
        <f t="shared" si="545"/>
        <v>3.7499999998544808E-2</v>
      </c>
      <c r="BJ902" s="95">
        <f t="shared" si="545"/>
        <v>0.13194444444525288</v>
      </c>
      <c r="BK902" s="95">
        <f t="shared" si="546"/>
        <v>0.16944444444379769</v>
      </c>
      <c r="BL902" s="95">
        <f t="shared" si="547"/>
        <v>0.13194444444379769</v>
      </c>
      <c r="BM902" s="95" t="str">
        <f t="shared" si="548"/>
        <v>00:00</v>
      </c>
      <c r="BN902" s="110"/>
    </row>
    <row r="903" spans="1:66" s="8" customFormat="1" ht="12.75" customHeight="1" x14ac:dyDescent="0.25">
      <c r="A903" s="150">
        <v>828</v>
      </c>
      <c r="B903" s="150">
        <v>54</v>
      </c>
      <c r="C903" s="90">
        <v>12</v>
      </c>
      <c r="D903" s="111" t="s">
        <v>148</v>
      </c>
      <c r="E903" s="210" t="s">
        <v>1000</v>
      </c>
      <c r="F903" s="150" t="s">
        <v>19</v>
      </c>
      <c r="G903" s="150" t="s">
        <v>17</v>
      </c>
      <c r="H903" s="150" t="s">
        <v>150</v>
      </c>
      <c r="I903" s="150" t="s">
        <v>431</v>
      </c>
      <c r="J903" s="151">
        <v>45640</v>
      </c>
      <c r="K903" s="135" t="s">
        <v>122</v>
      </c>
      <c r="L903" s="135">
        <v>461000609</v>
      </c>
      <c r="M903" s="151">
        <v>45642</v>
      </c>
      <c r="N903" s="152">
        <v>45642.204861111109</v>
      </c>
      <c r="O903" s="152">
        <v>45642.197916666664</v>
      </c>
      <c r="P903" s="152">
        <v>45642.208333333336</v>
      </c>
      <c r="Q903" s="152">
        <v>45642.354166666664</v>
      </c>
      <c r="R903" s="152">
        <v>45642.204861111109</v>
      </c>
      <c r="S903" s="152" t="s">
        <v>118</v>
      </c>
      <c r="T903" s="152">
        <v>45642.364583333336</v>
      </c>
      <c r="U903" s="152">
        <v>45642.443055555559</v>
      </c>
      <c r="V903" s="219">
        <f t="shared" si="540"/>
        <v>0.15625</v>
      </c>
      <c r="W903" s="203">
        <v>0.20833333333333334</v>
      </c>
      <c r="X903" s="219" t="str">
        <f t="shared" si="541"/>
        <v>00:00</v>
      </c>
      <c r="Y903" s="96">
        <v>0</v>
      </c>
      <c r="Z903" s="96">
        <v>59</v>
      </c>
      <c r="AA903" s="96">
        <f t="shared" si="511"/>
        <v>59</v>
      </c>
      <c r="AB903" s="97">
        <f t="shared" si="512"/>
        <v>0</v>
      </c>
      <c r="AC903" s="97">
        <f t="shared" si="513"/>
        <v>4037.85</v>
      </c>
      <c r="AD903" s="98">
        <v>4037.85</v>
      </c>
      <c r="AE903" s="98">
        <v>4098.8</v>
      </c>
      <c r="AF903" s="98">
        <v>4104.8</v>
      </c>
      <c r="AG903" s="98">
        <f t="shared" si="514"/>
        <v>66.950000000000273</v>
      </c>
      <c r="AH903" s="99">
        <v>672.5</v>
      </c>
      <c r="AI903" s="100">
        <f t="shared" si="515"/>
        <v>2760478</v>
      </c>
      <c r="AJ903" s="100">
        <f>(0.6*AH903)*2</f>
        <v>807</v>
      </c>
      <c r="AK903" s="100">
        <v>0</v>
      </c>
      <c r="AL903" s="100">
        <v>0</v>
      </c>
      <c r="AM903" s="100">
        <v>0</v>
      </c>
      <c r="AN903" s="100">
        <v>0</v>
      </c>
      <c r="AO903" s="100">
        <v>0</v>
      </c>
      <c r="AP903" s="100">
        <f t="shared" si="539"/>
        <v>138065</v>
      </c>
      <c r="AQ903" s="101">
        <f t="shared" si="528"/>
        <v>2899350</v>
      </c>
      <c r="AR903" s="101">
        <v>0</v>
      </c>
      <c r="AS903" s="101">
        <v>0</v>
      </c>
      <c r="AT903" s="102" t="s">
        <v>33</v>
      </c>
      <c r="AU903" s="109" t="s">
        <v>118</v>
      </c>
      <c r="AV903" s="100">
        <v>0</v>
      </c>
      <c r="AW903" s="105">
        <v>0</v>
      </c>
      <c r="AX903" s="216">
        <f t="shared" si="542"/>
        <v>1.6310173455466834</v>
      </c>
      <c r="AY903" s="217">
        <f t="shared" si="543"/>
        <v>45024</v>
      </c>
      <c r="AZ903" s="107"/>
      <c r="BA903" s="94">
        <v>45642.204861111109</v>
      </c>
      <c r="BB903" s="94">
        <v>45642.208333333336</v>
      </c>
      <c r="BC903" s="94">
        <v>45642.208333333336</v>
      </c>
      <c r="BD903" s="94">
        <v>45642.340277777781</v>
      </c>
      <c r="BE903" s="95">
        <f t="shared" si="544"/>
        <v>0.13541666667151731</v>
      </c>
      <c r="BF903" s="95">
        <v>0</v>
      </c>
      <c r="BG903" s="95">
        <v>0</v>
      </c>
      <c r="BH903" s="95">
        <f t="shared" si="545"/>
        <v>3.4722222262644209E-3</v>
      </c>
      <c r="BI903" s="95">
        <f t="shared" si="545"/>
        <v>0</v>
      </c>
      <c r="BJ903" s="95">
        <f t="shared" si="545"/>
        <v>0.13194444444525288</v>
      </c>
      <c r="BK903" s="95">
        <f t="shared" si="546"/>
        <v>0.13194444444525288</v>
      </c>
      <c r="BL903" s="95">
        <f t="shared" si="547"/>
        <v>0.13194444444525288</v>
      </c>
      <c r="BM903" s="95" t="str">
        <f t="shared" si="548"/>
        <v>00:00</v>
      </c>
      <c r="BN903" s="110"/>
    </row>
    <row r="904" spans="1:66" s="8" customFormat="1" ht="12.75" customHeight="1" x14ac:dyDescent="0.25">
      <c r="A904" s="150">
        <v>829</v>
      </c>
      <c r="B904" s="150">
        <v>55</v>
      </c>
      <c r="C904" s="90">
        <v>13</v>
      </c>
      <c r="D904" s="111" t="s">
        <v>148</v>
      </c>
      <c r="E904" s="210" t="s">
        <v>1000</v>
      </c>
      <c r="F904" s="150" t="s">
        <v>19</v>
      </c>
      <c r="G904" s="150" t="s">
        <v>17</v>
      </c>
      <c r="H904" s="150" t="s">
        <v>150</v>
      </c>
      <c r="I904" s="150" t="s">
        <v>433</v>
      </c>
      <c r="J904" s="151">
        <v>45640</v>
      </c>
      <c r="K904" s="135" t="s">
        <v>117</v>
      </c>
      <c r="L904" s="135">
        <v>461000610</v>
      </c>
      <c r="M904" s="151">
        <v>45642</v>
      </c>
      <c r="N904" s="152">
        <v>45642.34375</v>
      </c>
      <c r="O904" s="152">
        <v>45642.34375</v>
      </c>
      <c r="P904" s="152">
        <v>45642.347222222219</v>
      </c>
      <c r="Q904" s="152">
        <v>45642.53125</v>
      </c>
      <c r="R904" s="152" t="s">
        <v>118</v>
      </c>
      <c r="S904" s="152" t="s">
        <v>118</v>
      </c>
      <c r="T904" s="152">
        <v>45642.625</v>
      </c>
      <c r="U904" s="152">
        <v>45642.740972222222</v>
      </c>
      <c r="V904" s="219">
        <f t="shared" si="540"/>
        <v>0.1875</v>
      </c>
      <c r="W904" s="203">
        <v>0.20833333333333334</v>
      </c>
      <c r="X904" s="219" t="str">
        <f t="shared" si="541"/>
        <v>00:00</v>
      </c>
      <c r="Y904" s="96">
        <v>0</v>
      </c>
      <c r="Z904" s="96">
        <v>59</v>
      </c>
      <c r="AA904" s="96">
        <f t="shared" si="511"/>
        <v>59</v>
      </c>
      <c r="AB904" s="97">
        <f t="shared" si="512"/>
        <v>0</v>
      </c>
      <c r="AC904" s="97">
        <f t="shared" si="513"/>
        <v>4107</v>
      </c>
      <c r="AD904" s="98">
        <v>4107</v>
      </c>
      <c r="AE904" s="98">
        <v>4106.3999999999996</v>
      </c>
      <c r="AF904" s="98">
        <v>4130.6000000000004</v>
      </c>
      <c r="AG904" s="98">
        <f t="shared" si="514"/>
        <v>23.600000000000364</v>
      </c>
      <c r="AH904" s="99">
        <v>672.5</v>
      </c>
      <c r="AI904" s="100">
        <f t="shared" si="515"/>
        <v>2777828.5000000005</v>
      </c>
      <c r="AJ904" s="100">
        <f>(0*AH904)*2</f>
        <v>0</v>
      </c>
      <c r="AK904" s="100">
        <v>0</v>
      </c>
      <c r="AL904" s="100">
        <v>24290</v>
      </c>
      <c r="AM904" s="100">
        <v>0</v>
      </c>
      <c r="AN904" s="100">
        <v>0</v>
      </c>
      <c r="AO904" s="100">
        <v>0</v>
      </c>
      <c r="AP904" s="100">
        <f t="shared" si="539"/>
        <v>140106</v>
      </c>
      <c r="AQ904" s="101">
        <f t="shared" si="528"/>
        <v>2942225</v>
      </c>
      <c r="AR904" s="101">
        <v>0</v>
      </c>
      <c r="AS904" s="101">
        <v>0</v>
      </c>
      <c r="AT904" s="102" t="s">
        <v>33</v>
      </c>
      <c r="AU904" s="109">
        <v>13</v>
      </c>
      <c r="AV904" s="100">
        <f>31.42-20.92</f>
        <v>10.5</v>
      </c>
      <c r="AW904" s="105">
        <v>0</v>
      </c>
      <c r="AX904" s="216">
        <f t="shared" si="542"/>
        <v>0.57134556722995111</v>
      </c>
      <c r="AY904" s="217">
        <f t="shared" si="543"/>
        <v>15872</v>
      </c>
      <c r="AZ904" s="107"/>
      <c r="BA904" s="94">
        <v>45642.34375</v>
      </c>
      <c r="BB904" s="94">
        <v>45642.347222222219</v>
      </c>
      <c r="BC904" s="94">
        <v>45642.361111111109</v>
      </c>
      <c r="BD904" s="94">
        <v>45642.515972222223</v>
      </c>
      <c r="BE904" s="95">
        <f t="shared" si="544"/>
        <v>0.17222222222335404</v>
      </c>
      <c r="BF904" s="95">
        <v>2.361111111111111E-2</v>
      </c>
      <c r="BG904" s="95">
        <v>6.9444444444444441E-3</v>
      </c>
      <c r="BH904" s="95">
        <f t="shared" si="545"/>
        <v>3.4722222189884633E-3</v>
      </c>
      <c r="BI904" s="95">
        <f t="shared" si="545"/>
        <v>1.3888888890505768E-2</v>
      </c>
      <c r="BJ904" s="95">
        <f t="shared" si="545"/>
        <v>0.15486111111385981</v>
      </c>
      <c r="BK904" s="95">
        <f t="shared" si="546"/>
        <v>0.16875000000436557</v>
      </c>
      <c r="BL904" s="95">
        <f t="shared" si="547"/>
        <v>0.13819444444881002</v>
      </c>
      <c r="BM904" s="95" t="str">
        <f t="shared" si="548"/>
        <v>00:00</v>
      </c>
      <c r="BN904" s="110"/>
    </row>
    <row r="905" spans="1:66" s="8" customFormat="1" ht="12.75" customHeight="1" x14ac:dyDescent="0.25">
      <c r="A905" s="150">
        <v>830</v>
      </c>
      <c r="B905" s="150">
        <v>56</v>
      </c>
      <c r="C905" s="90">
        <v>14</v>
      </c>
      <c r="D905" s="111" t="s">
        <v>148</v>
      </c>
      <c r="E905" s="210" t="s">
        <v>1000</v>
      </c>
      <c r="F905" s="150" t="s">
        <v>19</v>
      </c>
      <c r="G905" s="150" t="s">
        <v>17</v>
      </c>
      <c r="H905" s="150" t="s">
        <v>150</v>
      </c>
      <c r="I905" s="150" t="s">
        <v>434</v>
      </c>
      <c r="J905" s="151">
        <v>45640</v>
      </c>
      <c r="K905" s="135" t="s">
        <v>122</v>
      </c>
      <c r="L905" s="135">
        <v>461000611</v>
      </c>
      <c r="M905" s="151">
        <v>45643</v>
      </c>
      <c r="N905" s="152">
        <v>45642.666666666664</v>
      </c>
      <c r="O905" s="152">
        <v>45642.666666666664</v>
      </c>
      <c r="P905" s="152">
        <v>45642.670138888891</v>
      </c>
      <c r="Q905" s="152">
        <v>45642.854166666664</v>
      </c>
      <c r="R905" s="152" t="s">
        <v>118</v>
      </c>
      <c r="S905" s="152" t="s">
        <v>118</v>
      </c>
      <c r="T905" s="152">
        <v>45642.958333333336</v>
      </c>
      <c r="U905" s="152">
        <v>45643.125</v>
      </c>
      <c r="V905" s="219">
        <f t="shared" si="540"/>
        <v>0.1875</v>
      </c>
      <c r="W905" s="203">
        <v>0.20833333333333334</v>
      </c>
      <c r="X905" s="219" t="str">
        <f t="shared" si="541"/>
        <v>00:00</v>
      </c>
      <c r="Y905" s="96">
        <v>0</v>
      </c>
      <c r="Z905" s="96">
        <v>58</v>
      </c>
      <c r="AA905" s="96">
        <f t="shared" si="511"/>
        <v>58</v>
      </c>
      <c r="AB905" s="97">
        <f t="shared" si="512"/>
        <v>0</v>
      </c>
      <c r="AC905" s="97">
        <f t="shared" si="513"/>
        <v>4047.7</v>
      </c>
      <c r="AD905" s="98">
        <v>4047.7</v>
      </c>
      <c r="AE905" s="98">
        <v>4024.1</v>
      </c>
      <c r="AF905" s="98">
        <v>4062.4</v>
      </c>
      <c r="AG905" s="98">
        <f t="shared" si="514"/>
        <v>14.700000000000273</v>
      </c>
      <c r="AH905" s="99">
        <v>672.5</v>
      </c>
      <c r="AI905" s="100">
        <f t="shared" si="515"/>
        <v>2731964</v>
      </c>
      <c r="AJ905" s="100">
        <f>(0*AH905)*2</f>
        <v>0</v>
      </c>
      <c r="AK905" s="100">
        <v>0</v>
      </c>
      <c r="AL905" s="100">
        <v>48280</v>
      </c>
      <c r="AM905" s="100">
        <v>0</v>
      </c>
      <c r="AN905" s="100">
        <v>0</v>
      </c>
      <c r="AO905" s="100">
        <v>0</v>
      </c>
      <c r="AP905" s="100">
        <f t="shared" si="539"/>
        <v>139013</v>
      </c>
      <c r="AQ905" s="101">
        <f t="shared" si="528"/>
        <v>2919257</v>
      </c>
      <c r="AR905" s="101">
        <v>0</v>
      </c>
      <c r="AS905" s="101">
        <v>0</v>
      </c>
      <c r="AT905" s="102" t="s">
        <v>33</v>
      </c>
      <c r="AU905" s="109">
        <v>30</v>
      </c>
      <c r="AV905" s="100">
        <f>60.51-32.51</f>
        <v>28</v>
      </c>
      <c r="AW905" s="105">
        <v>0</v>
      </c>
      <c r="AX905" s="216">
        <f t="shared" si="542"/>
        <v>0.3618550610476633</v>
      </c>
      <c r="AY905" s="217">
        <f t="shared" si="543"/>
        <v>9886</v>
      </c>
      <c r="AZ905" s="107"/>
      <c r="BA905" s="94">
        <v>45642.666666666664</v>
      </c>
      <c r="BB905" s="94">
        <v>45642.670138888891</v>
      </c>
      <c r="BC905" s="94">
        <v>45642.670138888891</v>
      </c>
      <c r="BD905" s="94">
        <v>45642.818055555559</v>
      </c>
      <c r="BE905" s="95">
        <f t="shared" si="544"/>
        <v>0.15138888889487134</v>
      </c>
      <c r="BF905" s="95">
        <v>2.9166666666666667E-2</v>
      </c>
      <c r="BG905" s="95">
        <v>0</v>
      </c>
      <c r="BH905" s="95">
        <f t="shared" si="545"/>
        <v>3.4722222262644209E-3</v>
      </c>
      <c r="BI905" s="95">
        <f t="shared" si="545"/>
        <v>0</v>
      </c>
      <c r="BJ905" s="95">
        <f t="shared" si="545"/>
        <v>0.14791666666860692</v>
      </c>
      <c r="BK905" s="95">
        <f t="shared" si="546"/>
        <v>0.14791666666860692</v>
      </c>
      <c r="BL905" s="95">
        <f t="shared" si="547"/>
        <v>0.11875000000194025</v>
      </c>
      <c r="BM905" s="95" t="str">
        <f t="shared" si="548"/>
        <v>00:00</v>
      </c>
      <c r="BN905" s="110"/>
    </row>
    <row r="906" spans="1:66" s="8" customFormat="1" ht="12.75" customHeight="1" x14ac:dyDescent="0.25">
      <c r="A906" s="150">
        <v>831</v>
      </c>
      <c r="B906" s="150">
        <v>57</v>
      </c>
      <c r="C906" s="90">
        <v>15</v>
      </c>
      <c r="D906" s="111" t="s">
        <v>148</v>
      </c>
      <c r="E906" s="210" t="s">
        <v>1000</v>
      </c>
      <c r="F906" s="150" t="s">
        <v>19</v>
      </c>
      <c r="G906" s="150" t="s">
        <v>17</v>
      </c>
      <c r="H906" s="150" t="s">
        <v>150</v>
      </c>
      <c r="I906" s="150" t="s">
        <v>436</v>
      </c>
      <c r="J906" s="151">
        <v>45640</v>
      </c>
      <c r="K906" s="135" t="s">
        <v>117</v>
      </c>
      <c r="L906" s="135">
        <v>461000612</v>
      </c>
      <c r="M906" s="151">
        <v>45643</v>
      </c>
      <c r="N906" s="152">
        <v>45642.833333333336</v>
      </c>
      <c r="O906" s="152">
        <v>45642.8125</v>
      </c>
      <c r="P906" s="152">
        <v>45642.836805555555</v>
      </c>
      <c r="Q906" s="152">
        <v>45642.989583333336</v>
      </c>
      <c r="R906" s="152">
        <v>45642.833333333336</v>
      </c>
      <c r="S906" s="152" t="s">
        <v>118</v>
      </c>
      <c r="T906" s="152">
        <v>45643.229166666664</v>
      </c>
      <c r="U906" s="152">
        <v>45643.444444444445</v>
      </c>
      <c r="V906" s="219">
        <f t="shared" si="540"/>
        <v>0.17708333333575865</v>
      </c>
      <c r="W906" s="203">
        <v>0.20833333333333334</v>
      </c>
      <c r="X906" s="219" t="str">
        <f t="shared" si="541"/>
        <v>00:00</v>
      </c>
      <c r="Y906" s="96">
        <v>14</v>
      </c>
      <c r="Z906" s="96">
        <v>41</v>
      </c>
      <c r="AA906" s="96">
        <f t="shared" si="511"/>
        <v>55</v>
      </c>
      <c r="AB906" s="97">
        <f t="shared" si="512"/>
        <v>981.45090909090891</v>
      </c>
      <c r="AC906" s="97">
        <f t="shared" si="513"/>
        <v>2874.2490909090907</v>
      </c>
      <c r="AD906" s="98">
        <v>3855.7</v>
      </c>
      <c r="AE906" s="98">
        <v>3818.2</v>
      </c>
      <c r="AF906" s="98">
        <v>3866.2</v>
      </c>
      <c r="AG906" s="98">
        <f t="shared" si="514"/>
        <v>10.5</v>
      </c>
      <c r="AH906" s="99">
        <v>672.5</v>
      </c>
      <c r="AI906" s="100">
        <f t="shared" si="515"/>
        <v>2600019.5</v>
      </c>
      <c r="AJ906" s="100">
        <f>(0*AH906)*2</f>
        <v>0</v>
      </c>
      <c r="AK906" s="100">
        <v>0</v>
      </c>
      <c r="AL906" s="100">
        <v>47380</v>
      </c>
      <c r="AM906" s="100">
        <v>0</v>
      </c>
      <c r="AN906" s="100">
        <v>0</v>
      </c>
      <c r="AO906" s="100">
        <v>0</v>
      </c>
      <c r="AP906" s="100">
        <f t="shared" si="539"/>
        <v>132370</v>
      </c>
      <c r="AQ906" s="101">
        <f t="shared" si="528"/>
        <v>2779770</v>
      </c>
      <c r="AR906" s="101">
        <v>0</v>
      </c>
      <c r="AS906" s="101">
        <v>0</v>
      </c>
      <c r="AT906" s="102" t="s">
        <v>33</v>
      </c>
      <c r="AU906" s="109">
        <v>41</v>
      </c>
      <c r="AV906" s="100">
        <f>88.06-38.56</f>
        <v>49.5</v>
      </c>
      <c r="AW906" s="105">
        <v>0</v>
      </c>
      <c r="AX906" s="216">
        <f t="shared" si="542"/>
        <v>0.27158450157777664</v>
      </c>
      <c r="AY906" s="217">
        <f t="shared" si="543"/>
        <v>7062</v>
      </c>
      <c r="AZ906" s="107"/>
      <c r="BA906" s="94">
        <v>45642.833333333336</v>
      </c>
      <c r="BB906" s="94">
        <v>45642.836805555555</v>
      </c>
      <c r="BC906" s="94">
        <v>45642.849305555559</v>
      </c>
      <c r="BD906" s="94">
        <v>45643</v>
      </c>
      <c r="BE906" s="95">
        <f t="shared" si="544"/>
        <v>0.16666666666424135</v>
      </c>
      <c r="BF906" s="95">
        <v>1.9444444444444445E-2</v>
      </c>
      <c r="BG906" s="95">
        <v>4.6527777777777779E-2</v>
      </c>
      <c r="BH906" s="95">
        <f t="shared" si="545"/>
        <v>3.4722222189884633E-3</v>
      </c>
      <c r="BI906" s="95">
        <f t="shared" si="545"/>
        <v>1.2500000004365575E-2</v>
      </c>
      <c r="BJ906" s="95">
        <f t="shared" si="545"/>
        <v>0.15069444444088731</v>
      </c>
      <c r="BK906" s="95">
        <f t="shared" si="546"/>
        <v>0.16319444444525288</v>
      </c>
      <c r="BL906" s="95">
        <f t="shared" si="547"/>
        <v>9.7222222223030674E-2</v>
      </c>
      <c r="BM906" s="95" t="str">
        <f t="shared" si="548"/>
        <v>00:00</v>
      </c>
      <c r="BN906" s="110"/>
    </row>
    <row r="907" spans="1:66" s="8" customFormat="1" ht="12.75" customHeight="1" x14ac:dyDescent="0.25">
      <c r="A907" s="150">
        <v>832</v>
      </c>
      <c r="B907" s="150">
        <v>58</v>
      </c>
      <c r="C907" s="90">
        <v>16</v>
      </c>
      <c r="D907" s="111" t="s">
        <v>148</v>
      </c>
      <c r="E907" s="210" t="s">
        <v>1000</v>
      </c>
      <c r="F907" s="150" t="s">
        <v>19</v>
      </c>
      <c r="G907" s="150" t="s">
        <v>17</v>
      </c>
      <c r="H907" s="150" t="s">
        <v>150</v>
      </c>
      <c r="I907" s="150" t="s">
        <v>440</v>
      </c>
      <c r="J907" s="151">
        <v>45642</v>
      </c>
      <c r="K907" s="135" t="s">
        <v>122</v>
      </c>
      <c r="L907" s="135">
        <v>461000613</v>
      </c>
      <c r="M907" s="151">
        <v>45643</v>
      </c>
      <c r="N907" s="152">
        <v>45643.166666666664</v>
      </c>
      <c r="O907" s="152">
        <v>45643.166666666664</v>
      </c>
      <c r="P907" s="152">
        <v>45643.173611111109</v>
      </c>
      <c r="Q907" s="152">
        <v>45643.354166666664</v>
      </c>
      <c r="R907" s="152" t="s">
        <v>118</v>
      </c>
      <c r="S907" s="152" t="s">
        <v>118</v>
      </c>
      <c r="T907" s="152">
        <v>45643.375</v>
      </c>
      <c r="U907" s="152">
        <v>45643.571527777778</v>
      </c>
      <c r="V907" s="219">
        <f t="shared" si="540"/>
        <v>0.1875</v>
      </c>
      <c r="W907" s="203">
        <v>0.20833333333333334</v>
      </c>
      <c r="X907" s="219" t="str">
        <f t="shared" si="541"/>
        <v>00:00</v>
      </c>
      <c r="Y907" s="96">
        <v>0</v>
      </c>
      <c r="Z907" s="96">
        <v>58</v>
      </c>
      <c r="AA907" s="96">
        <f t="shared" si="511"/>
        <v>58</v>
      </c>
      <c r="AB907" s="97">
        <f t="shared" si="512"/>
        <v>0</v>
      </c>
      <c r="AC907" s="97">
        <f t="shared" si="513"/>
        <v>3995.6000000000004</v>
      </c>
      <c r="AD907" s="98">
        <v>3995.6</v>
      </c>
      <c r="AE907" s="98">
        <v>4021.2</v>
      </c>
      <c r="AF907" s="98">
        <v>4034</v>
      </c>
      <c r="AG907" s="98">
        <f t="shared" si="514"/>
        <v>38.400000000000091</v>
      </c>
      <c r="AH907" s="99">
        <v>672.5</v>
      </c>
      <c r="AI907" s="100">
        <f t="shared" si="515"/>
        <v>2712865</v>
      </c>
      <c r="AJ907" s="100">
        <f>(1*AH907)*2</f>
        <v>1345</v>
      </c>
      <c r="AK907" s="100">
        <v>0</v>
      </c>
      <c r="AL907" s="100">
        <v>0</v>
      </c>
      <c r="AM907" s="100">
        <v>0</v>
      </c>
      <c r="AN907" s="100">
        <v>0</v>
      </c>
      <c r="AO907" s="100">
        <v>0</v>
      </c>
      <c r="AP907" s="100">
        <f t="shared" si="539"/>
        <v>135711</v>
      </c>
      <c r="AQ907" s="101">
        <f t="shared" si="528"/>
        <v>2849921</v>
      </c>
      <c r="AR907" s="101">
        <v>0</v>
      </c>
      <c r="AS907" s="101">
        <v>0</v>
      </c>
      <c r="AT907" s="102" t="s">
        <v>33</v>
      </c>
      <c r="AU907" s="109" t="s">
        <v>118</v>
      </c>
      <c r="AV907" s="100">
        <v>0</v>
      </c>
      <c r="AW907" s="105">
        <v>0</v>
      </c>
      <c r="AX907" s="216">
        <f t="shared" si="542"/>
        <v>0.95190877540902563</v>
      </c>
      <c r="AY907" s="217">
        <f t="shared" si="543"/>
        <v>25825</v>
      </c>
      <c r="AZ907" s="107"/>
      <c r="BA907" s="94">
        <v>45643.166666666664</v>
      </c>
      <c r="BB907" s="94">
        <v>45643.173611111109</v>
      </c>
      <c r="BC907" s="94">
        <v>45643.173611111109</v>
      </c>
      <c r="BD907" s="94">
        <v>45643.304166666669</v>
      </c>
      <c r="BE907" s="95">
        <f t="shared" si="544"/>
        <v>0.13750000000436557</v>
      </c>
      <c r="BF907" s="95">
        <v>0</v>
      </c>
      <c r="BG907" s="95">
        <v>0</v>
      </c>
      <c r="BH907" s="95">
        <f t="shared" si="545"/>
        <v>6.9444444452528842E-3</v>
      </c>
      <c r="BI907" s="95">
        <f t="shared" si="545"/>
        <v>0</v>
      </c>
      <c r="BJ907" s="95">
        <f t="shared" si="545"/>
        <v>0.13055555555911269</v>
      </c>
      <c r="BK907" s="95">
        <f t="shared" si="546"/>
        <v>0.13055555555911269</v>
      </c>
      <c r="BL907" s="95">
        <f t="shared" si="547"/>
        <v>0.13055555555911269</v>
      </c>
      <c r="BM907" s="95" t="str">
        <f t="shared" si="548"/>
        <v>00:00</v>
      </c>
      <c r="BN907" s="110"/>
    </row>
    <row r="908" spans="1:66" s="8" customFormat="1" ht="12.75" customHeight="1" x14ac:dyDescent="0.25">
      <c r="A908" s="150">
        <v>833</v>
      </c>
      <c r="B908" s="150">
        <v>59</v>
      </c>
      <c r="C908" s="90">
        <v>12</v>
      </c>
      <c r="D908" s="111" t="s">
        <v>113</v>
      </c>
      <c r="E908" s="210" t="s">
        <v>943</v>
      </c>
      <c r="F908" s="150" t="s">
        <v>32</v>
      </c>
      <c r="G908" s="150" t="s">
        <v>15</v>
      </c>
      <c r="H908" s="150" t="s">
        <v>146</v>
      </c>
      <c r="I908" s="150" t="s">
        <v>1013</v>
      </c>
      <c r="J908" s="151">
        <v>45643</v>
      </c>
      <c r="K908" s="135" t="s">
        <v>117</v>
      </c>
      <c r="L908" s="135">
        <v>261006135</v>
      </c>
      <c r="M908" s="151">
        <v>45643</v>
      </c>
      <c r="N908" s="152">
        <v>45643.5</v>
      </c>
      <c r="O908" s="152">
        <v>45643.5</v>
      </c>
      <c r="P908" s="152">
        <v>45643.506944444445</v>
      </c>
      <c r="Q908" s="152">
        <v>45643.6875</v>
      </c>
      <c r="R908" s="152" t="s">
        <v>118</v>
      </c>
      <c r="S908" s="152" t="s">
        <v>118</v>
      </c>
      <c r="T908" s="152">
        <v>45643.708333333336</v>
      </c>
      <c r="U908" s="152">
        <v>45643.817361111112</v>
      </c>
      <c r="V908" s="219">
        <f t="shared" si="540"/>
        <v>0.1875</v>
      </c>
      <c r="W908" s="203">
        <v>0.20833333333333334</v>
      </c>
      <c r="X908" s="219" t="str">
        <f t="shared" si="541"/>
        <v>00:00</v>
      </c>
      <c r="Y908" s="96">
        <v>0</v>
      </c>
      <c r="Z908" s="96">
        <v>59</v>
      </c>
      <c r="AA908" s="96">
        <f t="shared" si="511"/>
        <v>59</v>
      </c>
      <c r="AB908" s="97">
        <f t="shared" si="512"/>
        <v>0</v>
      </c>
      <c r="AC908" s="97">
        <f t="shared" si="513"/>
        <v>3996.3</v>
      </c>
      <c r="AD908" s="98">
        <v>3996.3</v>
      </c>
      <c r="AE908" s="98">
        <v>4101.7</v>
      </c>
      <c r="AF908" s="98">
        <v>4104</v>
      </c>
      <c r="AG908" s="98">
        <f t="shared" si="514"/>
        <v>107.69999999999982</v>
      </c>
      <c r="AH908" s="99">
        <v>1398.7</v>
      </c>
      <c r="AI908" s="100">
        <f t="shared" si="515"/>
        <v>5740264.7999999998</v>
      </c>
      <c r="AJ908" s="100">
        <f>(0.6*AH908)*2</f>
        <v>1678.44</v>
      </c>
      <c r="AK908" s="100">
        <v>0</v>
      </c>
      <c r="AL908" s="100">
        <v>0</v>
      </c>
      <c r="AM908" s="100">
        <v>0</v>
      </c>
      <c r="AN908" s="100">
        <v>0</v>
      </c>
      <c r="AO908" s="100">
        <v>0</v>
      </c>
      <c r="AP908" s="100">
        <f t="shared" si="539"/>
        <v>287098</v>
      </c>
      <c r="AQ908" s="101">
        <f t="shared" si="528"/>
        <v>6029042</v>
      </c>
      <c r="AR908" s="101">
        <v>0</v>
      </c>
      <c r="AS908" s="101">
        <v>0</v>
      </c>
      <c r="AT908" s="102" t="s">
        <v>33</v>
      </c>
      <c r="AU908" s="109" t="s">
        <v>118</v>
      </c>
      <c r="AV908" s="100">
        <v>0</v>
      </c>
      <c r="AW908" s="105">
        <v>0</v>
      </c>
      <c r="AX908" s="216">
        <f t="shared" si="542"/>
        <v>2.6242690058479488</v>
      </c>
      <c r="AY908" s="217">
        <f t="shared" si="543"/>
        <v>150640</v>
      </c>
      <c r="AZ908" s="107"/>
      <c r="BA908" s="94">
        <v>45643.5</v>
      </c>
      <c r="BB908" s="94">
        <v>45643.506944444445</v>
      </c>
      <c r="BC908" s="94">
        <v>45643.506944444445</v>
      </c>
      <c r="BD908" s="94">
        <v>45643.673611111109</v>
      </c>
      <c r="BE908" s="95">
        <f t="shared" si="544"/>
        <v>0.17361111110949423</v>
      </c>
      <c r="BF908" s="95">
        <v>0</v>
      </c>
      <c r="BG908" s="95">
        <v>4.8611111111111112E-2</v>
      </c>
      <c r="BH908" s="95">
        <f t="shared" si="545"/>
        <v>6.9444444452528842E-3</v>
      </c>
      <c r="BI908" s="95">
        <f t="shared" si="545"/>
        <v>0</v>
      </c>
      <c r="BJ908" s="95">
        <f t="shared" si="545"/>
        <v>0.16666666666424135</v>
      </c>
      <c r="BK908" s="95">
        <f t="shared" si="546"/>
        <v>0.16666666666424135</v>
      </c>
      <c r="BL908" s="95">
        <f t="shared" si="547"/>
        <v>0.11805555555313024</v>
      </c>
      <c r="BM908" s="95" t="str">
        <f t="shared" si="548"/>
        <v>00:00</v>
      </c>
      <c r="BN908" s="110"/>
    </row>
    <row r="909" spans="1:66" s="8" customFormat="1" ht="12.75" customHeight="1" x14ac:dyDescent="0.25">
      <c r="A909" s="150">
        <v>834</v>
      </c>
      <c r="B909" s="150">
        <v>60</v>
      </c>
      <c r="C909" s="90">
        <v>5</v>
      </c>
      <c r="D909" s="111" t="s">
        <v>113</v>
      </c>
      <c r="E909" s="210" t="s">
        <v>991</v>
      </c>
      <c r="F909" s="150" t="s">
        <v>27</v>
      </c>
      <c r="G909" s="150" t="s">
        <v>12</v>
      </c>
      <c r="H909" s="150" t="s">
        <v>115</v>
      </c>
      <c r="I909" s="150" t="s">
        <v>1014</v>
      </c>
      <c r="J909" s="151">
        <v>45643</v>
      </c>
      <c r="K909" s="135" t="s">
        <v>122</v>
      </c>
      <c r="L909" s="135">
        <v>282001078</v>
      </c>
      <c r="M909" s="151">
        <v>45644</v>
      </c>
      <c r="N909" s="152">
        <v>45643.701388888891</v>
      </c>
      <c r="O909" s="152">
        <v>45643.701388888891</v>
      </c>
      <c r="P909" s="152">
        <v>45643.708333333336</v>
      </c>
      <c r="Q909" s="152">
        <v>45643.90625</v>
      </c>
      <c r="R909" s="152" t="s">
        <v>118</v>
      </c>
      <c r="S909" s="152" t="s">
        <v>118</v>
      </c>
      <c r="T909" s="152">
        <v>45643.958333333336</v>
      </c>
      <c r="U909" s="152">
        <v>45644.052083333336</v>
      </c>
      <c r="V909" s="219">
        <f t="shared" si="540"/>
        <v>0.20486111110949423</v>
      </c>
      <c r="W909" s="203">
        <v>0.20833333333333334</v>
      </c>
      <c r="X909" s="219" t="str">
        <f t="shared" si="541"/>
        <v>00:00</v>
      </c>
      <c r="Y909" s="96">
        <v>0</v>
      </c>
      <c r="Z909" s="96">
        <v>58</v>
      </c>
      <c r="AA909" s="96">
        <f t="shared" si="511"/>
        <v>58</v>
      </c>
      <c r="AB909" s="97">
        <f t="shared" si="512"/>
        <v>0</v>
      </c>
      <c r="AC909" s="97">
        <f t="shared" si="513"/>
        <v>3933.6</v>
      </c>
      <c r="AD909" s="98">
        <v>3933.6</v>
      </c>
      <c r="AE909" s="98">
        <v>4031.2</v>
      </c>
      <c r="AF909" s="98">
        <v>4035.8</v>
      </c>
      <c r="AG909" s="98">
        <f t="shared" si="514"/>
        <v>102.20000000000027</v>
      </c>
      <c r="AH909" s="99">
        <v>1586.7</v>
      </c>
      <c r="AI909" s="100">
        <f t="shared" si="515"/>
        <v>6403603.8600000003</v>
      </c>
      <c r="AJ909" s="100">
        <f>(0*AH909)*2</f>
        <v>0</v>
      </c>
      <c r="AK909" s="100">
        <v>0</v>
      </c>
      <c r="AL909" s="100">
        <v>24140</v>
      </c>
      <c r="AM909" s="100">
        <v>0</v>
      </c>
      <c r="AN909" s="100">
        <v>0</v>
      </c>
      <c r="AO909" s="100">
        <f>IFERROR(AF909*20+(((AJ909/AH909)/2)*20),0)</f>
        <v>80716</v>
      </c>
      <c r="AP909" s="100">
        <f t="shared" si="539"/>
        <v>325423</v>
      </c>
      <c r="AQ909" s="101">
        <f t="shared" si="528"/>
        <v>6833883</v>
      </c>
      <c r="AR909" s="101">
        <v>0</v>
      </c>
      <c r="AS909" s="101">
        <v>0</v>
      </c>
      <c r="AT909" s="102" t="s">
        <v>33</v>
      </c>
      <c r="AU909" s="109">
        <v>3</v>
      </c>
      <c r="AV909" s="100">
        <f>5.8-3.8</f>
        <v>2</v>
      </c>
      <c r="AW909" s="105">
        <v>0</v>
      </c>
      <c r="AX909" s="216">
        <f t="shared" si="542"/>
        <v>2.5323355964121181</v>
      </c>
      <c r="AY909" s="217">
        <f t="shared" si="543"/>
        <v>162161</v>
      </c>
      <c r="AZ909" s="107"/>
      <c r="BA909" s="94">
        <v>45643.701388888891</v>
      </c>
      <c r="BB909" s="94">
        <v>45643.708333333336</v>
      </c>
      <c r="BC909" s="94">
        <v>45643.732638888891</v>
      </c>
      <c r="BD909" s="94">
        <v>45643.873611111114</v>
      </c>
      <c r="BE909" s="95">
        <f t="shared" si="544"/>
        <v>0.17222222222335404</v>
      </c>
      <c r="BF909" s="95">
        <v>1.3888888888888888E-2</v>
      </c>
      <c r="BG909" s="95">
        <v>2.4305555555555556E-2</v>
      </c>
      <c r="BH909" s="95">
        <f t="shared" si="545"/>
        <v>6.9444444452528842E-3</v>
      </c>
      <c r="BI909" s="95">
        <f t="shared" si="545"/>
        <v>2.4305555554747116E-2</v>
      </c>
      <c r="BJ909" s="95">
        <f t="shared" si="545"/>
        <v>0.14097222222335404</v>
      </c>
      <c r="BK909" s="95">
        <f t="shared" si="546"/>
        <v>0.16527777777810115</v>
      </c>
      <c r="BL909" s="95">
        <f t="shared" si="547"/>
        <v>0.12708333333365671</v>
      </c>
      <c r="BM909" s="95" t="str">
        <f t="shared" si="548"/>
        <v>00:00</v>
      </c>
      <c r="BN909" s="110"/>
    </row>
    <row r="910" spans="1:66" s="8" customFormat="1" ht="12.75" customHeight="1" x14ac:dyDescent="0.25">
      <c r="A910" s="150">
        <v>835</v>
      </c>
      <c r="B910" s="150">
        <v>61</v>
      </c>
      <c r="C910" s="90">
        <v>7</v>
      </c>
      <c r="D910" s="111" t="s">
        <v>113</v>
      </c>
      <c r="E910" s="210" t="s">
        <v>948</v>
      </c>
      <c r="F910" s="150" t="s">
        <v>14</v>
      </c>
      <c r="G910" s="150" t="s">
        <v>15</v>
      </c>
      <c r="H910" s="150" t="s">
        <v>779</v>
      </c>
      <c r="I910" s="150" t="s">
        <v>1015</v>
      </c>
      <c r="J910" s="151">
        <v>45643</v>
      </c>
      <c r="K910" s="135" t="s">
        <v>117</v>
      </c>
      <c r="L910" s="135">
        <v>281000269</v>
      </c>
      <c r="M910" s="151">
        <v>45644</v>
      </c>
      <c r="N910" s="152">
        <v>45643.833333333336</v>
      </c>
      <c r="O910" s="152">
        <v>45643.833333333336</v>
      </c>
      <c r="P910" s="152">
        <v>45643.836805555555</v>
      </c>
      <c r="Q910" s="152">
        <v>45643.989583333336</v>
      </c>
      <c r="R910" s="152" t="s">
        <v>118</v>
      </c>
      <c r="S910" s="152">
        <v>45644.072916666664</v>
      </c>
      <c r="T910" s="152">
        <v>45644.15625</v>
      </c>
      <c r="U910" s="152">
        <v>45644.249305555553</v>
      </c>
      <c r="V910" s="219">
        <f t="shared" si="540"/>
        <v>0.15625</v>
      </c>
      <c r="W910" s="203">
        <v>0.20833333333333334</v>
      </c>
      <c r="X910" s="219" t="str">
        <f t="shared" si="541"/>
        <v>00:00</v>
      </c>
      <c r="Y910" s="96">
        <v>0</v>
      </c>
      <c r="Z910" s="96">
        <v>58</v>
      </c>
      <c r="AA910" s="96">
        <f t="shared" si="511"/>
        <v>58</v>
      </c>
      <c r="AB910" s="97">
        <f t="shared" si="512"/>
        <v>0</v>
      </c>
      <c r="AC910" s="97">
        <f t="shared" si="513"/>
        <v>3833.58</v>
      </c>
      <c r="AD910" s="98">
        <v>3833.58</v>
      </c>
      <c r="AE910" s="98">
        <v>4029</v>
      </c>
      <c r="AF910" s="98">
        <v>4030</v>
      </c>
      <c r="AG910" s="98">
        <f t="shared" si="514"/>
        <v>196.42000000000007</v>
      </c>
      <c r="AH910" s="99">
        <v>1435.6</v>
      </c>
      <c r="AI910" s="100">
        <f t="shared" si="515"/>
        <v>5785468</v>
      </c>
      <c r="AJ910" s="100">
        <f>(0.4*AH910)*2</f>
        <v>1148.48</v>
      </c>
      <c r="AK910" s="100">
        <v>0</v>
      </c>
      <c r="AL910" s="100">
        <v>0</v>
      </c>
      <c r="AM910" s="100">
        <v>0</v>
      </c>
      <c r="AN910" s="100">
        <v>0</v>
      </c>
      <c r="AO910" s="100">
        <v>0</v>
      </c>
      <c r="AP910" s="100">
        <f t="shared" si="539"/>
        <v>289331</v>
      </c>
      <c r="AQ910" s="101">
        <f t="shared" si="528"/>
        <v>6075948</v>
      </c>
      <c r="AR910" s="101">
        <v>0</v>
      </c>
      <c r="AS910" s="101">
        <v>0</v>
      </c>
      <c r="AT910" s="102" t="s">
        <v>33</v>
      </c>
      <c r="AU910" s="109" t="s">
        <v>118</v>
      </c>
      <c r="AV910" s="100">
        <v>0</v>
      </c>
      <c r="AW910" s="105">
        <v>1</v>
      </c>
      <c r="AX910" s="216">
        <f t="shared" si="542"/>
        <v>4.8739454094292824</v>
      </c>
      <c r="AY910" s="217">
        <f t="shared" si="543"/>
        <v>281981</v>
      </c>
      <c r="AZ910" s="107"/>
      <c r="BA910" s="94">
        <v>45643.833333333336</v>
      </c>
      <c r="BB910" s="94">
        <v>45643.836805555555</v>
      </c>
      <c r="BC910" s="94">
        <v>45643.895833333336</v>
      </c>
      <c r="BD910" s="94">
        <v>45644.0625</v>
      </c>
      <c r="BE910" s="95">
        <f t="shared" si="544"/>
        <v>0.22916666666424135</v>
      </c>
      <c r="BF910" s="95">
        <v>6.9444444444444441E-3</v>
      </c>
      <c r="BG910" s="95">
        <v>0.10069444444444445</v>
      </c>
      <c r="BH910" s="95">
        <f t="shared" si="545"/>
        <v>3.4722222189884633E-3</v>
      </c>
      <c r="BI910" s="95">
        <f t="shared" si="545"/>
        <v>5.9027777781011537E-2</v>
      </c>
      <c r="BJ910" s="95">
        <f t="shared" si="545"/>
        <v>0.16666666666424135</v>
      </c>
      <c r="BK910" s="95">
        <f t="shared" si="546"/>
        <v>0.22569444444525288</v>
      </c>
      <c r="BL910" s="95">
        <f t="shared" si="547"/>
        <v>0.11805555555636399</v>
      </c>
      <c r="BM910" s="95">
        <f t="shared" si="548"/>
        <v>2.0833333330908005E-2</v>
      </c>
      <c r="BN910" s="110"/>
    </row>
    <row r="911" spans="1:66" s="8" customFormat="1" ht="12.75" customHeight="1" x14ac:dyDescent="0.25">
      <c r="A911" s="150">
        <v>836</v>
      </c>
      <c r="B911" s="150">
        <v>62</v>
      </c>
      <c r="C911" s="90">
        <v>17</v>
      </c>
      <c r="D911" s="111" t="s">
        <v>148</v>
      </c>
      <c r="E911" s="210" t="s">
        <v>1000</v>
      </c>
      <c r="F911" s="150" t="s">
        <v>19</v>
      </c>
      <c r="G911" s="150" t="s">
        <v>17</v>
      </c>
      <c r="H911" s="150" t="s">
        <v>150</v>
      </c>
      <c r="I911" s="150" t="s">
        <v>441</v>
      </c>
      <c r="J911" s="151">
        <v>45642</v>
      </c>
      <c r="K911" s="135" t="s">
        <v>122</v>
      </c>
      <c r="L911" s="135">
        <v>461000614</v>
      </c>
      <c r="M911" s="151">
        <v>45644</v>
      </c>
      <c r="N911" s="152">
        <v>45644.208333333336</v>
      </c>
      <c r="O911" s="152">
        <v>45644.1875</v>
      </c>
      <c r="P911" s="152">
        <v>45644.215277777781</v>
      </c>
      <c r="Q911" s="152">
        <v>45644.375</v>
      </c>
      <c r="R911" s="152">
        <v>45644.208333333336</v>
      </c>
      <c r="S911" s="152" t="s">
        <v>118</v>
      </c>
      <c r="T911" s="152">
        <v>45644.479166666664</v>
      </c>
      <c r="U911" s="152">
        <v>45644.654166666667</v>
      </c>
      <c r="V911" s="219">
        <f t="shared" si="540"/>
        <v>0.1875</v>
      </c>
      <c r="W911" s="203">
        <v>0.20833333333333334</v>
      </c>
      <c r="X911" s="219" t="str">
        <f t="shared" si="541"/>
        <v>00:00</v>
      </c>
      <c r="Y911" s="96">
        <v>0</v>
      </c>
      <c r="Z911" s="96">
        <v>59</v>
      </c>
      <c r="AA911" s="96">
        <f t="shared" si="511"/>
        <v>59</v>
      </c>
      <c r="AB911" s="97">
        <f t="shared" si="512"/>
        <v>0</v>
      </c>
      <c r="AC911" s="97">
        <f t="shared" si="513"/>
        <v>4111.33</v>
      </c>
      <c r="AD911" s="98">
        <v>4111.33</v>
      </c>
      <c r="AE911" s="98">
        <v>4086</v>
      </c>
      <c r="AF911" s="98">
        <v>4123.3999999999996</v>
      </c>
      <c r="AG911" s="98">
        <f t="shared" si="514"/>
        <v>12.069999999999709</v>
      </c>
      <c r="AH911" s="99">
        <v>672.5</v>
      </c>
      <c r="AI911" s="100">
        <f t="shared" si="515"/>
        <v>2772986.4999999995</v>
      </c>
      <c r="AJ911" s="100">
        <f t="shared" ref="AJ911:AJ917" si="549">(0*AH911)*2</f>
        <v>0</v>
      </c>
      <c r="AK911" s="100">
        <v>0</v>
      </c>
      <c r="AL911" s="100">
        <v>24290</v>
      </c>
      <c r="AM911" s="100">
        <v>0</v>
      </c>
      <c r="AN911" s="100">
        <v>0</v>
      </c>
      <c r="AO911" s="100">
        <v>0</v>
      </c>
      <c r="AP911" s="100">
        <f t="shared" si="539"/>
        <v>139864</v>
      </c>
      <c r="AQ911" s="101">
        <f t="shared" si="528"/>
        <v>2937141</v>
      </c>
      <c r="AR911" s="101">
        <v>0</v>
      </c>
      <c r="AS911" s="101">
        <v>0</v>
      </c>
      <c r="AT911" s="102" t="s">
        <v>33</v>
      </c>
      <c r="AU911" s="109">
        <v>21</v>
      </c>
      <c r="AV911" s="100">
        <f>50.77-32.77</f>
        <v>18</v>
      </c>
      <c r="AW911" s="105">
        <v>0</v>
      </c>
      <c r="AX911" s="216">
        <f t="shared" si="542"/>
        <v>0.29271960032981786</v>
      </c>
      <c r="AY911" s="217">
        <f t="shared" si="543"/>
        <v>8118</v>
      </c>
      <c r="AZ911" s="107"/>
      <c r="BA911" s="94">
        <v>45644.208333333336</v>
      </c>
      <c r="BB911" s="94">
        <v>45644.215277777781</v>
      </c>
      <c r="BC911" s="94">
        <v>45644.21875</v>
      </c>
      <c r="BD911" s="94">
        <v>45644.342361111114</v>
      </c>
      <c r="BE911" s="95">
        <f t="shared" si="544"/>
        <v>0.13402777777810115</v>
      </c>
      <c r="BF911" s="95">
        <v>0</v>
      </c>
      <c r="BG911" s="95">
        <v>3.472222222222222E-3</v>
      </c>
      <c r="BH911" s="95">
        <f t="shared" si="545"/>
        <v>6.9444444452528842E-3</v>
      </c>
      <c r="BI911" s="95">
        <f t="shared" si="545"/>
        <v>3.4722222189884633E-3</v>
      </c>
      <c r="BJ911" s="95">
        <f t="shared" si="545"/>
        <v>0.12361111111385981</v>
      </c>
      <c r="BK911" s="95">
        <f t="shared" si="546"/>
        <v>0.12708333333284827</v>
      </c>
      <c r="BL911" s="95">
        <f t="shared" si="547"/>
        <v>0.12361111111062605</v>
      </c>
      <c r="BM911" s="95" t="str">
        <f t="shared" si="548"/>
        <v>00:00</v>
      </c>
      <c r="BN911" s="110"/>
    </row>
    <row r="912" spans="1:66" s="8" customFormat="1" ht="12.75" customHeight="1" x14ac:dyDescent="0.25">
      <c r="A912" s="150">
        <v>837</v>
      </c>
      <c r="B912" s="150">
        <v>63</v>
      </c>
      <c r="C912" s="90">
        <v>13</v>
      </c>
      <c r="D912" s="111" t="s">
        <v>113</v>
      </c>
      <c r="E912" s="210" t="s">
        <v>943</v>
      </c>
      <c r="F912" s="150" t="s">
        <v>32</v>
      </c>
      <c r="G912" s="150" t="s">
        <v>15</v>
      </c>
      <c r="H912" s="150" t="s">
        <v>120</v>
      </c>
      <c r="I912" s="150" t="s">
        <v>1016</v>
      </c>
      <c r="J912" s="151">
        <v>45644</v>
      </c>
      <c r="K912" s="135" t="s">
        <v>117</v>
      </c>
      <c r="L912" s="135">
        <v>261006138</v>
      </c>
      <c r="M912" s="151">
        <v>45644</v>
      </c>
      <c r="N912" s="152">
        <v>45644.375</v>
      </c>
      <c r="O912" s="152">
        <v>45644.375</v>
      </c>
      <c r="P912" s="152">
        <v>45644.378472222219</v>
      </c>
      <c r="Q912" s="152">
        <v>45644.572916666664</v>
      </c>
      <c r="R912" s="152" t="s">
        <v>118</v>
      </c>
      <c r="S912" s="152" t="s">
        <v>118</v>
      </c>
      <c r="T912" s="152">
        <v>45644.583333333336</v>
      </c>
      <c r="U912" s="152">
        <v>45644.729861111111</v>
      </c>
      <c r="V912" s="219">
        <f t="shared" si="540"/>
        <v>0.19791666666424135</v>
      </c>
      <c r="W912" s="203">
        <v>0.20833333333333334</v>
      </c>
      <c r="X912" s="219" t="str">
        <f t="shared" si="541"/>
        <v>00:00</v>
      </c>
      <c r="Y912" s="96">
        <v>0</v>
      </c>
      <c r="Z912" s="96">
        <v>59</v>
      </c>
      <c r="AA912" s="96">
        <f t="shared" si="511"/>
        <v>59</v>
      </c>
      <c r="AB912" s="97">
        <f t="shared" si="512"/>
        <v>0</v>
      </c>
      <c r="AC912" s="97">
        <f t="shared" si="513"/>
        <v>3876.2500000000005</v>
      </c>
      <c r="AD912" s="98">
        <v>3876.25</v>
      </c>
      <c r="AE912" s="98">
        <v>4098.8</v>
      </c>
      <c r="AF912" s="98">
        <v>4098.8</v>
      </c>
      <c r="AG912" s="98">
        <f t="shared" si="514"/>
        <v>222.55000000000018</v>
      </c>
      <c r="AH912" s="99">
        <v>1398.7</v>
      </c>
      <c r="AI912" s="100">
        <f t="shared" si="515"/>
        <v>5732991.5600000005</v>
      </c>
      <c r="AJ912" s="100">
        <f t="shared" si="549"/>
        <v>0</v>
      </c>
      <c r="AK912" s="100">
        <v>0</v>
      </c>
      <c r="AL912" s="100">
        <v>0</v>
      </c>
      <c r="AM912" s="100">
        <v>0</v>
      </c>
      <c r="AN912" s="100">
        <v>0</v>
      </c>
      <c r="AO912" s="100">
        <v>0</v>
      </c>
      <c r="AP912" s="100">
        <f t="shared" si="539"/>
        <v>286650</v>
      </c>
      <c r="AQ912" s="101">
        <f t="shared" si="528"/>
        <v>6019642</v>
      </c>
      <c r="AR912" s="101">
        <v>0</v>
      </c>
      <c r="AS912" s="101">
        <v>0</v>
      </c>
      <c r="AT912" s="102" t="s">
        <v>33</v>
      </c>
      <c r="AU912" s="109" t="s">
        <v>118</v>
      </c>
      <c r="AV912" s="100">
        <v>0</v>
      </c>
      <c r="AW912" s="105">
        <v>0</v>
      </c>
      <c r="AX912" s="216">
        <f t="shared" si="542"/>
        <v>5.4296379428125343</v>
      </c>
      <c r="AY912" s="217">
        <f t="shared" si="543"/>
        <v>311281</v>
      </c>
      <c r="AZ912" s="107"/>
      <c r="BA912" s="94">
        <v>45644.375</v>
      </c>
      <c r="BB912" s="94">
        <v>45644.378472222219</v>
      </c>
      <c r="BC912" s="94">
        <v>45644.378472222219</v>
      </c>
      <c r="BD912" s="94">
        <v>45644.558333333334</v>
      </c>
      <c r="BE912" s="95">
        <f t="shared" si="544"/>
        <v>0.18333333333430346</v>
      </c>
      <c r="BF912" s="95">
        <v>0</v>
      </c>
      <c r="BG912" s="95">
        <v>5.486111111111111E-2</v>
      </c>
      <c r="BH912" s="95">
        <f t="shared" si="545"/>
        <v>3.4722222189884633E-3</v>
      </c>
      <c r="BI912" s="95">
        <f t="shared" si="545"/>
        <v>0</v>
      </c>
      <c r="BJ912" s="95">
        <f t="shared" si="545"/>
        <v>0.179861111115315</v>
      </c>
      <c r="BK912" s="95">
        <f t="shared" si="546"/>
        <v>0.179861111115315</v>
      </c>
      <c r="BL912" s="95">
        <f t="shared" si="547"/>
        <v>0.12500000000420389</v>
      </c>
      <c r="BM912" s="95" t="str">
        <f t="shared" si="548"/>
        <v>00:00</v>
      </c>
      <c r="BN912" s="110"/>
    </row>
    <row r="913" spans="1:66" s="8" customFormat="1" ht="12.75" customHeight="1" x14ac:dyDescent="0.25">
      <c r="A913" s="150">
        <v>838</v>
      </c>
      <c r="B913" s="150">
        <v>64</v>
      </c>
      <c r="C913" s="90">
        <v>18</v>
      </c>
      <c r="D913" s="111" t="s">
        <v>148</v>
      </c>
      <c r="E913" s="210" t="s">
        <v>1000</v>
      </c>
      <c r="F913" s="150" t="s">
        <v>19</v>
      </c>
      <c r="G913" s="150" t="s">
        <v>17</v>
      </c>
      <c r="H913" s="150" t="s">
        <v>150</v>
      </c>
      <c r="I913" s="150" t="s">
        <v>443</v>
      </c>
      <c r="J913" s="151">
        <v>45642</v>
      </c>
      <c r="K913" s="135" t="s">
        <v>122</v>
      </c>
      <c r="L913" s="135">
        <v>461000615</v>
      </c>
      <c r="M913" s="151">
        <v>45645</v>
      </c>
      <c r="N913" s="152">
        <v>45644.708333333336</v>
      </c>
      <c r="O913" s="152">
        <v>45644.666666666664</v>
      </c>
      <c r="P913" s="152">
        <v>45644.715277777781</v>
      </c>
      <c r="Q913" s="152">
        <v>45644.864583333336</v>
      </c>
      <c r="R913" s="152">
        <v>45644.708333333336</v>
      </c>
      <c r="S913" s="152" t="s">
        <v>118</v>
      </c>
      <c r="T913" s="152">
        <v>45644.916666666664</v>
      </c>
      <c r="U913" s="152">
        <v>45645.152777777781</v>
      </c>
      <c r="V913" s="219">
        <f t="shared" si="540"/>
        <v>0.19791666667151731</v>
      </c>
      <c r="W913" s="203">
        <v>0.20833333333333334</v>
      </c>
      <c r="X913" s="219" t="str">
        <f t="shared" si="541"/>
        <v>00:00</v>
      </c>
      <c r="Y913" s="96">
        <v>0</v>
      </c>
      <c r="Z913" s="96">
        <v>59</v>
      </c>
      <c r="AA913" s="96">
        <f t="shared" si="511"/>
        <v>59</v>
      </c>
      <c r="AB913" s="97">
        <f t="shared" si="512"/>
        <v>0</v>
      </c>
      <c r="AC913" s="97">
        <f t="shared" si="513"/>
        <v>4105.84</v>
      </c>
      <c r="AD913" s="98">
        <v>4105.84</v>
      </c>
      <c r="AE913" s="98">
        <v>4089.5</v>
      </c>
      <c r="AF913" s="98">
        <v>4125</v>
      </c>
      <c r="AG913" s="98">
        <f t="shared" si="514"/>
        <v>19.159999999999854</v>
      </c>
      <c r="AH913" s="99">
        <v>672.5</v>
      </c>
      <c r="AI913" s="100">
        <f t="shared" si="515"/>
        <v>2774062.5</v>
      </c>
      <c r="AJ913" s="100">
        <f t="shared" si="549"/>
        <v>0</v>
      </c>
      <c r="AK913" s="100">
        <v>0</v>
      </c>
      <c r="AL913" s="100">
        <v>48580</v>
      </c>
      <c r="AM913" s="100">
        <v>0</v>
      </c>
      <c r="AN913" s="100">
        <v>0</v>
      </c>
      <c r="AO913" s="100">
        <v>0</v>
      </c>
      <c r="AP913" s="100">
        <f t="shared" si="539"/>
        <v>141133</v>
      </c>
      <c r="AQ913" s="101">
        <f t="shared" si="528"/>
        <v>2963776</v>
      </c>
      <c r="AR913" s="101">
        <v>0</v>
      </c>
      <c r="AS913" s="101">
        <v>0</v>
      </c>
      <c r="AT913" s="102" t="s">
        <v>33</v>
      </c>
      <c r="AU913" s="109">
        <v>28</v>
      </c>
      <c r="AV913" s="100">
        <f>52.11-28.61</f>
        <v>23.5</v>
      </c>
      <c r="AW913" s="105">
        <v>0</v>
      </c>
      <c r="AX913" s="216">
        <f t="shared" si="542"/>
        <v>0.46448484848484495</v>
      </c>
      <c r="AY913" s="217">
        <f t="shared" si="543"/>
        <v>12886</v>
      </c>
      <c r="AZ913" s="107"/>
      <c r="BA913" s="94">
        <v>45644.708333333336</v>
      </c>
      <c r="BB913" s="94">
        <v>45644.715277777781</v>
      </c>
      <c r="BC913" s="94">
        <v>45644.715277777781</v>
      </c>
      <c r="BD913" s="94">
        <v>45644.851388888892</v>
      </c>
      <c r="BE913" s="95">
        <f t="shared" si="544"/>
        <v>0.14305555555620231</v>
      </c>
      <c r="BF913" s="95">
        <v>0</v>
      </c>
      <c r="BG913" s="95">
        <v>0</v>
      </c>
      <c r="BH913" s="95">
        <f t="shared" si="545"/>
        <v>6.9444444452528842E-3</v>
      </c>
      <c r="BI913" s="95">
        <f t="shared" si="545"/>
        <v>0</v>
      </c>
      <c r="BJ913" s="95">
        <f t="shared" si="545"/>
        <v>0.13611111111094942</v>
      </c>
      <c r="BK913" s="95">
        <f t="shared" si="546"/>
        <v>0.13611111111094942</v>
      </c>
      <c r="BL913" s="95">
        <f t="shared" si="547"/>
        <v>0.13611111111094942</v>
      </c>
      <c r="BM913" s="95" t="str">
        <f t="shared" si="548"/>
        <v>00:00</v>
      </c>
      <c r="BN913" s="110"/>
    </row>
    <row r="914" spans="1:66" s="8" customFormat="1" ht="12.75" customHeight="1" x14ac:dyDescent="0.25">
      <c r="A914" s="150">
        <v>839</v>
      </c>
      <c r="B914" s="150">
        <v>65</v>
      </c>
      <c r="C914" s="90">
        <v>10</v>
      </c>
      <c r="D914" s="111" t="s">
        <v>113</v>
      </c>
      <c r="E914" s="210" t="s">
        <v>956</v>
      </c>
      <c r="F914" s="150" t="s">
        <v>41</v>
      </c>
      <c r="G914" s="150" t="s">
        <v>12</v>
      </c>
      <c r="H914" s="150" t="s">
        <v>115</v>
      </c>
      <c r="I914" s="150" t="s">
        <v>1017</v>
      </c>
      <c r="J914" s="151">
        <v>45644</v>
      </c>
      <c r="K914" s="135" t="s">
        <v>117</v>
      </c>
      <c r="L914" s="135">
        <v>282001081</v>
      </c>
      <c r="M914" s="151">
        <v>45645</v>
      </c>
      <c r="N914" s="152">
        <v>45644.8125</v>
      </c>
      <c r="O914" s="152">
        <v>45644.8125</v>
      </c>
      <c r="P914" s="152">
        <v>45644.815972222219</v>
      </c>
      <c r="Q914" s="152">
        <v>45644.993055555555</v>
      </c>
      <c r="R914" s="152" t="s">
        <v>118</v>
      </c>
      <c r="S914" s="152">
        <v>45645.048611111109</v>
      </c>
      <c r="T914" s="152">
        <v>45645.208333333336</v>
      </c>
      <c r="U914" s="152">
        <v>45645.362500000003</v>
      </c>
      <c r="V914" s="219">
        <f t="shared" si="540"/>
        <v>0.18055555555474712</v>
      </c>
      <c r="W914" s="203">
        <v>0.20833333333333334</v>
      </c>
      <c r="X914" s="219" t="str">
        <f t="shared" si="541"/>
        <v>00:00</v>
      </c>
      <c r="Y914" s="96">
        <v>0</v>
      </c>
      <c r="Z914" s="96">
        <v>58</v>
      </c>
      <c r="AA914" s="96">
        <f t="shared" si="511"/>
        <v>58</v>
      </c>
      <c r="AB914" s="97">
        <f t="shared" si="512"/>
        <v>0</v>
      </c>
      <c r="AC914" s="97">
        <f t="shared" si="513"/>
        <v>3971.42</v>
      </c>
      <c r="AD914" s="98">
        <v>3971.42</v>
      </c>
      <c r="AE914" s="98">
        <v>4034.6</v>
      </c>
      <c r="AF914" s="98">
        <v>4052.6</v>
      </c>
      <c r="AG914" s="98">
        <f t="shared" si="514"/>
        <v>81.179999999999836</v>
      </c>
      <c r="AH914" s="99">
        <v>1586.7</v>
      </c>
      <c r="AI914" s="100">
        <f t="shared" si="515"/>
        <v>6430260.4199999999</v>
      </c>
      <c r="AJ914" s="100">
        <f t="shared" si="549"/>
        <v>0</v>
      </c>
      <c r="AK914" s="100">
        <v>0</v>
      </c>
      <c r="AL914" s="100">
        <v>24140</v>
      </c>
      <c r="AM914" s="100">
        <v>0</v>
      </c>
      <c r="AN914" s="100">
        <v>0</v>
      </c>
      <c r="AO914" s="100">
        <f>IFERROR(AF914*20+(((AJ914/AH914)/2)*20),0)</f>
        <v>81052</v>
      </c>
      <c r="AP914" s="100">
        <f t="shared" si="539"/>
        <v>326773</v>
      </c>
      <c r="AQ914" s="101">
        <f t="shared" si="528"/>
        <v>6862226</v>
      </c>
      <c r="AR914" s="101">
        <v>0</v>
      </c>
      <c r="AS914" s="101">
        <v>0</v>
      </c>
      <c r="AT914" s="102" t="s">
        <v>33</v>
      </c>
      <c r="AU914" s="109">
        <v>12</v>
      </c>
      <c r="AV914" s="100">
        <f>22.8-14.8</f>
        <v>8</v>
      </c>
      <c r="AW914" s="105">
        <v>1</v>
      </c>
      <c r="AX914" s="216">
        <f t="shared" si="542"/>
        <v>2.0031584661698623</v>
      </c>
      <c r="AY914" s="217">
        <f t="shared" si="543"/>
        <v>128809</v>
      </c>
      <c r="AZ914" s="107"/>
      <c r="BA914" s="94">
        <v>45644.8125</v>
      </c>
      <c r="BB914" s="94">
        <v>45644.815972222219</v>
      </c>
      <c r="BC914" s="94">
        <v>45644.892361111109</v>
      </c>
      <c r="BD914" s="94">
        <v>45645.041666666664</v>
      </c>
      <c r="BE914" s="95">
        <f t="shared" si="544"/>
        <v>0.22916666666424135</v>
      </c>
      <c r="BF914" s="95">
        <v>1.3888888888888888E-2</v>
      </c>
      <c r="BG914" s="95">
        <v>6.5972222222222224E-2</v>
      </c>
      <c r="BH914" s="95">
        <f t="shared" si="545"/>
        <v>3.4722222189884633E-3</v>
      </c>
      <c r="BI914" s="95">
        <f t="shared" si="545"/>
        <v>7.6388888890505768E-2</v>
      </c>
      <c r="BJ914" s="95">
        <f t="shared" si="545"/>
        <v>0.14930555555474712</v>
      </c>
      <c r="BK914" s="95">
        <f t="shared" si="546"/>
        <v>0.22569444444525288</v>
      </c>
      <c r="BL914" s="95">
        <f t="shared" si="547"/>
        <v>0.14583333333414178</v>
      </c>
      <c r="BM914" s="95">
        <f t="shared" si="548"/>
        <v>2.0833333330908005E-2</v>
      </c>
      <c r="BN914" s="110">
        <v>1</v>
      </c>
    </row>
    <row r="915" spans="1:66" s="8" customFormat="1" ht="12.75" customHeight="1" x14ac:dyDescent="0.25">
      <c r="A915" s="150">
        <v>840</v>
      </c>
      <c r="B915" s="150">
        <v>66</v>
      </c>
      <c r="C915" s="90">
        <v>19</v>
      </c>
      <c r="D915" s="111" t="s">
        <v>148</v>
      </c>
      <c r="E915" s="210" t="s">
        <v>1000</v>
      </c>
      <c r="F915" s="150" t="s">
        <v>19</v>
      </c>
      <c r="G915" s="150" t="s">
        <v>17</v>
      </c>
      <c r="H915" s="150" t="s">
        <v>150</v>
      </c>
      <c r="I915" s="150" t="s">
        <v>445</v>
      </c>
      <c r="J915" s="151">
        <v>45642</v>
      </c>
      <c r="K915" s="135" t="s">
        <v>122</v>
      </c>
      <c r="L915" s="135">
        <v>461000616</v>
      </c>
      <c r="M915" s="151">
        <v>45645</v>
      </c>
      <c r="N915" s="152">
        <v>45645.229166666664</v>
      </c>
      <c r="O915" s="152">
        <v>45645.229166666664</v>
      </c>
      <c r="P915" s="152">
        <v>45645.232638888891</v>
      </c>
      <c r="Q915" s="152">
        <v>45645.416666666664</v>
      </c>
      <c r="R915" s="152" t="s">
        <v>118</v>
      </c>
      <c r="S915" s="152" t="s">
        <v>118</v>
      </c>
      <c r="T915" s="152">
        <v>45645.520833333336</v>
      </c>
      <c r="U915" s="152">
        <v>45645.652777777781</v>
      </c>
      <c r="V915" s="219">
        <f t="shared" si="540"/>
        <v>0.1875</v>
      </c>
      <c r="W915" s="203">
        <v>0.20833333333333334</v>
      </c>
      <c r="X915" s="219" t="str">
        <f t="shared" si="541"/>
        <v>00:00</v>
      </c>
      <c r="Y915" s="96">
        <v>0</v>
      </c>
      <c r="Z915" s="96">
        <v>58</v>
      </c>
      <c r="AA915" s="96">
        <f t="shared" si="511"/>
        <v>58</v>
      </c>
      <c r="AB915" s="97">
        <f t="shared" si="512"/>
        <v>0</v>
      </c>
      <c r="AC915" s="97">
        <f t="shared" si="513"/>
        <v>4025.4499999999994</v>
      </c>
      <c r="AD915" s="98">
        <v>4025.45</v>
      </c>
      <c r="AE915" s="98">
        <v>4036.4</v>
      </c>
      <c r="AF915" s="98">
        <v>4053</v>
      </c>
      <c r="AG915" s="98">
        <f t="shared" si="514"/>
        <v>27.550000000000182</v>
      </c>
      <c r="AH915" s="99">
        <v>672.5</v>
      </c>
      <c r="AI915" s="100">
        <f t="shared" si="515"/>
        <v>2725642.5</v>
      </c>
      <c r="AJ915" s="100">
        <f t="shared" si="549"/>
        <v>0</v>
      </c>
      <c r="AK915" s="100">
        <v>0</v>
      </c>
      <c r="AL915" s="100">
        <v>24140</v>
      </c>
      <c r="AM915" s="100">
        <v>0</v>
      </c>
      <c r="AN915" s="100">
        <v>0</v>
      </c>
      <c r="AO915" s="100">
        <v>0</v>
      </c>
      <c r="AP915" s="100">
        <f t="shared" si="539"/>
        <v>137490</v>
      </c>
      <c r="AQ915" s="101">
        <f t="shared" si="528"/>
        <v>2887273</v>
      </c>
      <c r="AR915" s="101">
        <v>0</v>
      </c>
      <c r="AS915" s="101">
        <v>0</v>
      </c>
      <c r="AT915" s="102" t="s">
        <v>33</v>
      </c>
      <c r="AU915" s="109">
        <v>11</v>
      </c>
      <c r="AV915" s="100">
        <f>20.01-13.51</f>
        <v>6.5000000000000018</v>
      </c>
      <c r="AW915" s="105">
        <v>0</v>
      </c>
      <c r="AX915" s="216">
        <f t="shared" si="542"/>
        <v>0.67974339995065824</v>
      </c>
      <c r="AY915" s="217">
        <f t="shared" si="543"/>
        <v>18528</v>
      </c>
      <c r="AZ915" s="107"/>
      <c r="BA915" s="94">
        <v>45645.229166666664</v>
      </c>
      <c r="BB915" s="94">
        <v>45645.232638888891</v>
      </c>
      <c r="BC915" s="94">
        <v>45645.232638888891</v>
      </c>
      <c r="BD915" s="94">
        <v>45645.354166666664</v>
      </c>
      <c r="BE915" s="95">
        <f t="shared" si="544"/>
        <v>0.125</v>
      </c>
      <c r="BF915" s="95">
        <v>0</v>
      </c>
      <c r="BG915" s="95">
        <v>0</v>
      </c>
      <c r="BH915" s="95">
        <f t="shared" si="545"/>
        <v>3.4722222262644209E-3</v>
      </c>
      <c r="BI915" s="95">
        <f t="shared" si="545"/>
        <v>0</v>
      </c>
      <c r="BJ915" s="95">
        <f t="shared" si="545"/>
        <v>0.12152777777373558</v>
      </c>
      <c r="BK915" s="95">
        <f t="shared" si="546"/>
        <v>0.12152777777373558</v>
      </c>
      <c r="BL915" s="95">
        <f t="shared" si="547"/>
        <v>0.12152777777373558</v>
      </c>
      <c r="BM915" s="95" t="str">
        <f t="shared" si="548"/>
        <v>00:00</v>
      </c>
      <c r="BN915" s="110"/>
    </row>
    <row r="916" spans="1:66" s="8" customFormat="1" ht="12.75" customHeight="1" x14ac:dyDescent="0.25">
      <c r="A916" s="150">
        <v>841</v>
      </c>
      <c r="B916" s="150">
        <v>67</v>
      </c>
      <c r="C916" s="90">
        <v>5</v>
      </c>
      <c r="D916" s="111" t="s">
        <v>113</v>
      </c>
      <c r="E916" s="210" t="s">
        <v>996</v>
      </c>
      <c r="F916" s="150" t="s">
        <v>29</v>
      </c>
      <c r="G916" s="150" t="s">
        <v>15</v>
      </c>
      <c r="H916" s="150" t="s">
        <v>124</v>
      </c>
      <c r="I916" s="150" t="s">
        <v>1018</v>
      </c>
      <c r="J916" s="151">
        <v>45645</v>
      </c>
      <c r="K916" s="135" t="s">
        <v>117</v>
      </c>
      <c r="L916" s="135">
        <v>241000422</v>
      </c>
      <c r="M916" s="151">
        <v>45646</v>
      </c>
      <c r="N916" s="152">
        <v>45645.576388888891</v>
      </c>
      <c r="O916" s="152">
        <v>45645.576388888891</v>
      </c>
      <c r="P916" s="152">
        <v>45645.583333333336</v>
      </c>
      <c r="Q916" s="152">
        <v>45645.784722222219</v>
      </c>
      <c r="R916" s="152" t="s">
        <v>118</v>
      </c>
      <c r="S916" s="152">
        <v>45645.822916666664</v>
      </c>
      <c r="T916" s="152">
        <v>45645.854166666664</v>
      </c>
      <c r="U916" s="152">
        <v>45645.972222222219</v>
      </c>
      <c r="V916" s="219">
        <f t="shared" si="540"/>
        <v>0.20833333332848269</v>
      </c>
      <c r="W916" s="203">
        <v>0.20833333333333334</v>
      </c>
      <c r="X916" s="219" t="str">
        <f t="shared" si="541"/>
        <v>00:00</v>
      </c>
      <c r="Y916" s="96">
        <v>0</v>
      </c>
      <c r="Z916" s="96">
        <v>58</v>
      </c>
      <c r="AA916" s="96">
        <f t="shared" si="511"/>
        <v>58</v>
      </c>
      <c r="AB916" s="97">
        <f t="shared" si="512"/>
        <v>0</v>
      </c>
      <c r="AC916" s="97">
        <f t="shared" si="513"/>
        <v>3857.1100000000006</v>
      </c>
      <c r="AD916" s="98">
        <v>3857.11</v>
      </c>
      <c r="AE916" s="98">
        <v>4030.6</v>
      </c>
      <c r="AF916" s="98">
        <v>4034.6</v>
      </c>
      <c r="AG916" s="98">
        <f t="shared" si="514"/>
        <v>177.48999999999978</v>
      </c>
      <c r="AH916" s="99">
        <v>797.2</v>
      </c>
      <c r="AI916" s="100">
        <f t="shared" si="515"/>
        <v>3216383.12</v>
      </c>
      <c r="AJ916" s="100">
        <f t="shared" si="549"/>
        <v>0</v>
      </c>
      <c r="AK916" s="100">
        <v>0</v>
      </c>
      <c r="AL916" s="100">
        <v>24140</v>
      </c>
      <c r="AM916" s="100">
        <v>0</v>
      </c>
      <c r="AN916" s="100">
        <v>0</v>
      </c>
      <c r="AO916" s="100">
        <v>0</v>
      </c>
      <c r="AP916" s="100">
        <f t="shared" si="539"/>
        <v>162027</v>
      </c>
      <c r="AQ916" s="101">
        <f t="shared" si="528"/>
        <v>3402551</v>
      </c>
      <c r="AR916" s="101">
        <v>0</v>
      </c>
      <c r="AS916" s="101">
        <v>0</v>
      </c>
      <c r="AT916" s="102" t="s">
        <v>33</v>
      </c>
      <c r="AU916" s="109">
        <v>4</v>
      </c>
      <c r="AV916" s="100">
        <f>6.4-3.4</f>
        <v>3.0000000000000004</v>
      </c>
      <c r="AW916" s="105">
        <v>1</v>
      </c>
      <c r="AX916" s="216">
        <f t="shared" si="542"/>
        <v>4.3991969464135181</v>
      </c>
      <c r="AY916" s="217">
        <f t="shared" si="543"/>
        <v>141496</v>
      </c>
      <c r="AZ916" s="107"/>
      <c r="BA916" s="94">
        <v>45645.576388888891</v>
      </c>
      <c r="BB916" s="94">
        <v>45645.583333333336</v>
      </c>
      <c r="BC916" s="94">
        <v>45645.620138888888</v>
      </c>
      <c r="BD916" s="94">
        <v>45645.790972222225</v>
      </c>
      <c r="BE916" s="95">
        <f t="shared" si="544"/>
        <v>0.21458333333430346</v>
      </c>
      <c r="BF916" s="95">
        <v>2.9861111111111113E-2</v>
      </c>
      <c r="BG916" s="95">
        <v>7.3611111111111113E-2</v>
      </c>
      <c r="BH916" s="95">
        <f t="shared" si="545"/>
        <v>6.9444444452528842E-3</v>
      </c>
      <c r="BI916" s="95">
        <f t="shared" si="545"/>
        <v>3.6805555551836733E-2</v>
      </c>
      <c r="BJ916" s="95">
        <f t="shared" si="545"/>
        <v>0.17083333333721384</v>
      </c>
      <c r="BK916" s="95">
        <f t="shared" si="546"/>
        <v>0.20763888888905058</v>
      </c>
      <c r="BL916" s="95">
        <f t="shared" si="547"/>
        <v>0.10416666666682835</v>
      </c>
      <c r="BM916" s="95">
        <f t="shared" si="548"/>
        <v>6.2500000009701184E-3</v>
      </c>
      <c r="BN916" s="110"/>
    </row>
    <row r="917" spans="1:66" s="8" customFormat="1" ht="12.75" customHeight="1" x14ac:dyDescent="0.25">
      <c r="A917" s="150">
        <v>842</v>
      </c>
      <c r="B917" s="150">
        <v>68</v>
      </c>
      <c r="C917" s="90">
        <v>20</v>
      </c>
      <c r="D917" s="111" t="s">
        <v>148</v>
      </c>
      <c r="E917" s="210" t="s">
        <v>1000</v>
      </c>
      <c r="F917" s="150" t="s">
        <v>19</v>
      </c>
      <c r="G917" s="150" t="s">
        <v>17</v>
      </c>
      <c r="H917" s="150" t="s">
        <v>150</v>
      </c>
      <c r="I917" s="150" t="s">
        <v>446</v>
      </c>
      <c r="J917" s="151">
        <v>45643</v>
      </c>
      <c r="K917" s="135" t="s">
        <v>122</v>
      </c>
      <c r="L917" s="135">
        <v>461000617</v>
      </c>
      <c r="M917" s="151">
        <v>45646</v>
      </c>
      <c r="N917" s="152">
        <v>45645.791666666664</v>
      </c>
      <c r="O917" s="152">
        <v>45645.791666666664</v>
      </c>
      <c r="P917" s="152">
        <v>45645.795138888891</v>
      </c>
      <c r="Q917" s="152">
        <v>45645.989583333336</v>
      </c>
      <c r="R917" s="152" t="s">
        <v>118</v>
      </c>
      <c r="S917" s="152" t="s">
        <v>118</v>
      </c>
      <c r="T917" s="152">
        <v>45646.0625</v>
      </c>
      <c r="U917" s="152">
        <v>45646.236111111109</v>
      </c>
      <c r="V917" s="219">
        <f t="shared" si="540"/>
        <v>0.19791666667151731</v>
      </c>
      <c r="W917" s="203">
        <v>0.20833333333333334</v>
      </c>
      <c r="X917" s="219" t="str">
        <f t="shared" si="541"/>
        <v>00:00</v>
      </c>
      <c r="Y917" s="96">
        <v>0</v>
      </c>
      <c r="Z917" s="96">
        <v>59</v>
      </c>
      <c r="AA917" s="96">
        <f t="shared" si="511"/>
        <v>59</v>
      </c>
      <c r="AB917" s="97">
        <f t="shared" si="512"/>
        <v>0</v>
      </c>
      <c r="AC917" s="97">
        <f t="shared" si="513"/>
        <v>4135.59</v>
      </c>
      <c r="AD917" s="98">
        <v>4135.59</v>
      </c>
      <c r="AE917" s="98">
        <v>4113</v>
      </c>
      <c r="AF917" s="98">
        <v>4149.8</v>
      </c>
      <c r="AG917" s="98">
        <f t="shared" si="514"/>
        <v>14.210000000000036</v>
      </c>
      <c r="AH917" s="99">
        <v>672.5</v>
      </c>
      <c r="AI917" s="100">
        <f t="shared" si="515"/>
        <v>2790740.5</v>
      </c>
      <c r="AJ917" s="100">
        <f t="shared" si="549"/>
        <v>0</v>
      </c>
      <c r="AK917" s="100">
        <v>0</v>
      </c>
      <c r="AL917" s="100">
        <v>24290</v>
      </c>
      <c r="AM917" s="100">
        <v>0</v>
      </c>
      <c r="AN917" s="100">
        <v>0</v>
      </c>
      <c r="AO917" s="100">
        <v>0</v>
      </c>
      <c r="AP917" s="100">
        <f t="shared" si="539"/>
        <v>140752</v>
      </c>
      <c r="AQ917" s="101">
        <f t="shared" si="528"/>
        <v>2955783</v>
      </c>
      <c r="AR917" s="101">
        <v>0</v>
      </c>
      <c r="AS917" s="101">
        <v>0</v>
      </c>
      <c r="AT917" s="102" t="s">
        <v>33</v>
      </c>
      <c r="AU917" s="109">
        <v>22</v>
      </c>
      <c r="AV917" s="100">
        <v>16.5</v>
      </c>
      <c r="AW917" s="105">
        <v>0</v>
      </c>
      <c r="AX917" s="216">
        <f t="shared" si="542"/>
        <v>0.34242614101884516</v>
      </c>
      <c r="AY917" s="217">
        <f t="shared" si="543"/>
        <v>9557</v>
      </c>
      <c r="AZ917" s="107"/>
      <c r="BA917" s="94">
        <v>45645.791666666664</v>
      </c>
      <c r="BB917" s="94">
        <v>45645.795138888891</v>
      </c>
      <c r="BC917" s="94">
        <v>45645.805555555555</v>
      </c>
      <c r="BD917" s="94">
        <v>45645.967361111114</v>
      </c>
      <c r="BE917" s="95">
        <f t="shared" si="544"/>
        <v>0.17569444444961846</v>
      </c>
      <c r="BF917" s="95">
        <v>0</v>
      </c>
      <c r="BG917" s="95">
        <v>2.4305555555555556E-2</v>
      </c>
      <c r="BH917" s="95">
        <f t="shared" si="545"/>
        <v>3.4722222262644209E-3</v>
      </c>
      <c r="BI917" s="95">
        <f t="shared" si="545"/>
        <v>1.0416666664241347E-2</v>
      </c>
      <c r="BJ917" s="95">
        <f t="shared" si="545"/>
        <v>0.16180555555911269</v>
      </c>
      <c r="BK917" s="95">
        <f t="shared" si="546"/>
        <v>0.17222222222335404</v>
      </c>
      <c r="BL917" s="95">
        <f t="shared" si="547"/>
        <v>0.14791666666779849</v>
      </c>
      <c r="BM917" s="95" t="str">
        <f t="shared" si="548"/>
        <v>00:00</v>
      </c>
      <c r="BN917" s="110"/>
    </row>
    <row r="918" spans="1:66" s="8" customFormat="1" ht="12.75" customHeight="1" x14ac:dyDescent="0.25">
      <c r="A918" s="150">
        <v>843</v>
      </c>
      <c r="B918" s="150">
        <v>69</v>
      </c>
      <c r="C918" s="90">
        <v>14</v>
      </c>
      <c r="D918" s="111" t="s">
        <v>113</v>
      </c>
      <c r="E918" s="210" t="s">
        <v>943</v>
      </c>
      <c r="F918" s="150" t="s">
        <v>32</v>
      </c>
      <c r="G918" s="150" t="s">
        <v>15</v>
      </c>
      <c r="H918" s="150" t="s">
        <v>201</v>
      </c>
      <c r="I918" s="150" t="s">
        <v>1019</v>
      </c>
      <c r="J918" s="151">
        <v>45645</v>
      </c>
      <c r="K918" s="135" t="s">
        <v>117</v>
      </c>
      <c r="L918" s="135">
        <v>262010681</v>
      </c>
      <c r="M918" s="151">
        <v>45646</v>
      </c>
      <c r="N918" s="152">
        <v>45646.135416666664</v>
      </c>
      <c r="O918" s="152">
        <v>45646.135416666664</v>
      </c>
      <c r="P918" s="152">
        <v>45646.142361111109</v>
      </c>
      <c r="Q918" s="152">
        <v>45646.34375</v>
      </c>
      <c r="R918" s="152" t="s">
        <v>118</v>
      </c>
      <c r="S918" s="152" t="s">
        <v>118</v>
      </c>
      <c r="T918" s="152">
        <v>45646.354166666664</v>
      </c>
      <c r="U918" s="152">
        <v>45646.487500000003</v>
      </c>
      <c r="V918" s="219">
        <f t="shared" si="540"/>
        <v>0.20833333333575865</v>
      </c>
      <c r="W918" s="203">
        <v>0.20833333333333334</v>
      </c>
      <c r="X918" s="219">
        <f t="shared" si="541"/>
        <v>2.4253099528692701E-12</v>
      </c>
      <c r="Y918" s="96">
        <v>0</v>
      </c>
      <c r="Z918" s="96">
        <v>58</v>
      </c>
      <c r="AA918" s="96">
        <f t="shared" si="511"/>
        <v>58</v>
      </c>
      <c r="AB918" s="97">
        <f t="shared" si="512"/>
        <v>0</v>
      </c>
      <c r="AC918" s="97">
        <f t="shared" si="513"/>
        <v>3890.66</v>
      </c>
      <c r="AD918" s="98">
        <v>3890.66</v>
      </c>
      <c r="AE918" s="98">
        <v>4032.8</v>
      </c>
      <c r="AF918" s="98">
        <v>4033.8</v>
      </c>
      <c r="AG918" s="98">
        <f t="shared" si="514"/>
        <v>143.14000000000033</v>
      </c>
      <c r="AH918" s="99">
        <v>2230.6999999999998</v>
      </c>
      <c r="AI918" s="100">
        <f t="shared" si="515"/>
        <v>8998197.6600000001</v>
      </c>
      <c r="AJ918" s="100">
        <f>(0.2*AH918)*2</f>
        <v>892.28</v>
      </c>
      <c r="AK918" s="100">
        <v>0</v>
      </c>
      <c r="AL918" s="100">
        <v>0</v>
      </c>
      <c r="AM918" s="100">
        <v>0</v>
      </c>
      <c r="AN918" s="100">
        <v>0</v>
      </c>
      <c r="AO918" s="100">
        <v>0</v>
      </c>
      <c r="AP918" s="100">
        <f t="shared" si="539"/>
        <v>449955</v>
      </c>
      <c r="AQ918" s="101">
        <f t="shared" si="528"/>
        <v>9449045</v>
      </c>
      <c r="AR918" s="101">
        <v>0</v>
      </c>
      <c r="AS918" s="101">
        <v>0</v>
      </c>
      <c r="AT918" s="102" t="s">
        <v>33</v>
      </c>
      <c r="AU918" s="109" t="s">
        <v>118</v>
      </c>
      <c r="AV918" s="100">
        <v>0</v>
      </c>
      <c r="AW918" s="105">
        <v>0</v>
      </c>
      <c r="AX918" s="216">
        <f t="shared" si="542"/>
        <v>3.5485150478457115</v>
      </c>
      <c r="AY918" s="217">
        <f t="shared" si="543"/>
        <v>319303</v>
      </c>
      <c r="AZ918" s="107"/>
      <c r="BA918" s="94">
        <v>45646.135416666664</v>
      </c>
      <c r="BB918" s="94">
        <v>45646.142361111109</v>
      </c>
      <c r="BC918" s="94">
        <v>45646.142361111109</v>
      </c>
      <c r="BD918" s="94">
        <v>45646.380555555559</v>
      </c>
      <c r="BE918" s="95">
        <f t="shared" si="544"/>
        <v>0.24513888889487134</v>
      </c>
      <c r="BF918" s="95">
        <v>0</v>
      </c>
      <c r="BG918" s="95">
        <v>0.10416666666666667</v>
      </c>
      <c r="BH918" s="95">
        <f t="shared" si="545"/>
        <v>6.9444444452528842E-3</v>
      </c>
      <c r="BI918" s="95">
        <f t="shared" si="545"/>
        <v>0</v>
      </c>
      <c r="BJ918" s="95">
        <f t="shared" si="545"/>
        <v>0.23819444444961846</v>
      </c>
      <c r="BK918" s="95">
        <f t="shared" si="546"/>
        <v>0.23819444444961846</v>
      </c>
      <c r="BL918" s="95">
        <f t="shared" si="547"/>
        <v>0.13402777778295177</v>
      </c>
      <c r="BM918" s="95">
        <f t="shared" si="548"/>
        <v>3.6805555561538E-2</v>
      </c>
      <c r="BN918" s="110"/>
    </row>
    <row r="919" spans="1:66" s="8" customFormat="1" ht="12.75" customHeight="1" x14ac:dyDescent="0.25">
      <c r="A919" s="150">
        <v>844</v>
      </c>
      <c r="B919" s="150">
        <v>70</v>
      </c>
      <c r="C919" s="90">
        <v>21</v>
      </c>
      <c r="D919" s="111" t="s">
        <v>148</v>
      </c>
      <c r="E919" s="210" t="s">
        <v>1000</v>
      </c>
      <c r="F919" s="150" t="s">
        <v>19</v>
      </c>
      <c r="G919" s="150" t="s">
        <v>17</v>
      </c>
      <c r="H919" s="150" t="s">
        <v>150</v>
      </c>
      <c r="I919" s="150" t="s">
        <v>447</v>
      </c>
      <c r="J919" s="151">
        <v>45644</v>
      </c>
      <c r="K919" s="135" t="s">
        <v>122</v>
      </c>
      <c r="L919" s="135">
        <v>461000618</v>
      </c>
      <c r="M919" s="151">
        <v>45646</v>
      </c>
      <c r="N919" s="152">
        <v>45646.34375</v>
      </c>
      <c r="O919" s="152">
        <v>45646.34375</v>
      </c>
      <c r="P919" s="152">
        <v>45646.354166666664</v>
      </c>
      <c r="Q919" s="152">
        <v>45646.552083333336</v>
      </c>
      <c r="R919" s="152" t="s">
        <v>118</v>
      </c>
      <c r="S919" s="152" t="s">
        <v>118</v>
      </c>
      <c r="T919" s="152">
        <v>45646.625</v>
      </c>
      <c r="U919" s="152">
        <v>45646.78125</v>
      </c>
      <c r="V919" s="219">
        <f t="shared" si="540"/>
        <v>0.20833333333575865</v>
      </c>
      <c r="W919" s="203">
        <v>0.20833333333333334</v>
      </c>
      <c r="X919" s="219">
        <f t="shared" si="541"/>
        <v>2.4253099528692701E-12</v>
      </c>
      <c r="Y919" s="96">
        <v>0</v>
      </c>
      <c r="Z919" s="96">
        <v>58</v>
      </c>
      <c r="AA919" s="96">
        <f t="shared" si="511"/>
        <v>58</v>
      </c>
      <c r="AB919" s="97">
        <f t="shared" si="512"/>
        <v>0</v>
      </c>
      <c r="AC919" s="97">
        <f t="shared" si="513"/>
        <v>4027.97</v>
      </c>
      <c r="AD919" s="98">
        <v>4027.97</v>
      </c>
      <c r="AE919" s="98">
        <v>4035.6</v>
      </c>
      <c r="AF919" s="98">
        <v>4058.8</v>
      </c>
      <c r="AG919" s="98">
        <f t="shared" si="514"/>
        <v>30.830000000000382</v>
      </c>
      <c r="AH919" s="99">
        <v>672.5</v>
      </c>
      <c r="AI919" s="100">
        <f t="shared" si="515"/>
        <v>2729543</v>
      </c>
      <c r="AJ919" s="100">
        <f t="shared" ref="AJ919:AJ927" si="550">(0*AH919)*2</f>
        <v>0</v>
      </c>
      <c r="AK919" s="100">
        <v>0</v>
      </c>
      <c r="AL919" s="100">
        <v>24140</v>
      </c>
      <c r="AM919" s="100">
        <v>0</v>
      </c>
      <c r="AN919" s="100">
        <v>0</v>
      </c>
      <c r="AO919" s="100">
        <v>0</v>
      </c>
      <c r="AP919" s="100">
        <f t="shared" si="539"/>
        <v>137685</v>
      </c>
      <c r="AQ919" s="101">
        <f t="shared" si="528"/>
        <v>2891368</v>
      </c>
      <c r="AR919" s="101">
        <v>0</v>
      </c>
      <c r="AS919" s="101">
        <v>0</v>
      </c>
      <c r="AT919" s="102" t="s">
        <v>33</v>
      </c>
      <c r="AU919" s="109">
        <v>11</v>
      </c>
      <c r="AV919" s="100">
        <f>25.95-19.95</f>
        <v>6</v>
      </c>
      <c r="AW919" s="105">
        <v>0</v>
      </c>
      <c r="AX919" s="216">
        <f t="shared" si="542"/>
        <v>0.75958411353110222</v>
      </c>
      <c r="AY919" s="217">
        <f t="shared" si="543"/>
        <v>20734</v>
      </c>
      <c r="AZ919" s="107"/>
      <c r="BA919" s="94">
        <v>45646.333333333336</v>
      </c>
      <c r="BB919" s="94">
        <v>45646.34375</v>
      </c>
      <c r="BC919" s="94">
        <v>45646.392361111109</v>
      </c>
      <c r="BD919" s="94">
        <v>45646.55</v>
      </c>
      <c r="BE919" s="95">
        <f t="shared" si="544"/>
        <v>0.21666666666715173</v>
      </c>
      <c r="BF919" s="95">
        <v>7.6388888888888886E-3</v>
      </c>
      <c r="BG919" s="95">
        <v>5.1388888888888887E-2</v>
      </c>
      <c r="BH919" s="95">
        <f t="shared" si="545"/>
        <v>1.0416666664241347E-2</v>
      </c>
      <c r="BI919" s="95">
        <f t="shared" si="545"/>
        <v>4.8611111109494232E-2</v>
      </c>
      <c r="BJ919" s="95">
        <f t="shared" si="545"/>
        <v>0.15763888889341615</v>
      </c>
      <c r="BK919" s="95">
        <f t="shared" si="546"/>
        <v>0.20625000000291038</v>
      </c>
      <c r="BL919" s="95">
        <f t="shared" si="547"/>
        <v>0.14722222222513259</v>
      </c>
      <c r="BM919" s="95">
        <f t="shared" si="548"/>
        <v>8.3333333338183879E-3</v>
      </c>
      <c r="BN919" s="110"/>
    </row>
    <row r="920" spans="1:66" s="8" customFormat="1" ht="12.75" customHeight="1" x14ac:dyDescent="0.25">
      <c r="A920" s="150">
        <v>845</v>
      </c>
      <c r="B920" s="150">
        <v>71</v>
      </c>
      <c r="C920" s="90">
        <v>6</v>
      </c>
      <c r="D920" s="111" t="s">
        <v>113</v>
      </c>
      <c r="E920" s="210" t="s">
        <v>991</v>
      </c>
      <c r="F920" s="150" t="s">
        <v>27</v>
      </c>
      <c r="G920" s="150" t="s">
        <v>12</v>
      </c>
      <c r="H920" s="150" t="s">
        <v>115</v>
      </c>
      <c r="I920" s="150" t="s">
        <v>1020</v>
      </c>
      <c r="J920" s="151">
        <v>45646</v>
      </c>
      <c r="K920" s="135" t="s">
        <v>117</v>
      </c>
      <c r="L920" s="135">
        <v>282001082</v>
      </c>
      <c r="M920" s="151">
        <v>45647</v>
      </c>
      <c r="N920" s="152">
        <v>45646.743055555555</v>
      </c>
      <c r="O920" s="152">
        <v>45646.743055555555</v>
      </c>
      <c r="P920" s="152">
        <v>45646.746527777781</v>
      </c>
      <c r="Q920" s="152">
        <v>45646.90625</v>
      </c>
      <c r="R920" s="152" t="s">
        <v>118</v>
      </c>
      <c r="S920" s="152" t="s">
        <v>118</v>
      </c>
      <c r="T920" s="152">
        <v>45647.0625</v>
      </c>
      <c r="U920" s="152">
        <v>45647.201388888891</v>
      </c>
      <c r="V920" s="219">
        <f t="shared" si="540"/>
        <v>0.16319444444525288</v>
      </c>
      <c r="W920" s="203">
        <v>0.20833333333333334</v>
      </c>
      <c r="X920" s="219" t="str">
        <f t="shared" si="541"/>
        <v>00:00</v>
      </c>
      <c r="Y920" s="96">
        <v>0</v>
      </c>
      <c r="Z920" s="96">
        <v>58</v>
      </c>
      <c r="AA920" s="96">
        <f t="shared" si="511"/>
        <v>58</v>
      </c>
      <c r="AB920" s="97">
        <f t="shared" si="512"/>
        <v>0</v>
      </c>
      <c r="AC920" s="97">
        <f t="shared" si="513"/>
        <v>3976.7899999999995</v>
      </c>
      <c r="AD920" s="98">
        <v>3976.79</v>
      </c>
      <c r="AE920" s="98">
        <v>4032.5</v>
      </c>
      <c r="AF920" s="98">
        <v>4046.8</v>
      </c>
      <c r="AG920" s="98">
        <f t="shared" si="514"/>
        <v>70.010000000000218</v>
      </c>
      <c r="AH920" s="99">
        <v>1586.7</v>
      </c>
      <c r="AI920" s="100">
        <f t="shared" si="515"/>
        <v>6421057.5600000005</v>
      </c>
      <c r="AJ920" s="100">
        <f t="shared" si="550"/>
        <v>0</v>
      </c>
      <c r="AK920" s="100">
        <v>0</v>
      </c>
      <c r="AL920" s="100">
        <v>24140</v>
      </c>
      <c r="AM920" s="100">
        <v>0</v>
      </c>
      <c r="AN920" s="100">
        <v>0</v>
      </c>
      <c r="AO920" s="100">
        <f>IFERROR(AF920*20+(((AJ920/AH920)/2)*20),0)</f>
        <v>80936</v>
      </c>
      <c r="AP920" s="100">
        <f t="shared" si="539"/>
        <v>326307</v>
      </c>
      <c r="AQ920" s="101">
        <f t="shared" si="528"/>
        <v>6852441</v>
      </c>
      <c r="AR920" s="101">
        <v>0</v>
      </c>
      <c r="AS920" s="101">
        <v>0</v>
      </c>
      <c r="AT920" s="102" t="s">
        <v>33</v>
      </c>
      <c r="AU920" s="109">
        <v>8</v>
      </c>
      <c r="AV920" s="100">
        <f>17.6-12.6</f>
        <v>5.0000000000000018</v>
      </c>
      <c r="AW920" s="105">
        <v>0</v>
      </c>
      <c r="AX920" s="216">
        <f t="shared" si="542"/>
        <v>1.7300088959177677</v>
      </c>
      <c r="AY920" s="217">
        <f t="shared" si="543"/>
        <v>111085</v>
      </c>
      <c r="AZ920" s="107"/>
      <c r="BA920" s="94">
        <v>45646.743055555555</v>
      </c>
      <c r="BB920" s="94">
        <v>45646.746527777781</v>
      </c>
      <c r="BC920" s="94">
        <v>45646.746527777781</v>
      </c>
      <c r="BD920" s="94">
        <v>45646.87777777778</v>
      </c>
      <c r="BE920" s="95">
        <f t="shared" si="544"/>
        <v>0.13472222222480923</v>
      </c>
      <c r="BF920" s="95">
        <v>0</v>
      </c>
      <c r="BG920" s="95">
        <v>0</v>
      </c>
      <c r="BH920" s="95">
        <f t="shared" si="545"/>
        <v>3.4722222262644209E-3</v>
      </c>
      <c r="BI920" s="95">
        <f t="shared" si="545"/>
        <v>0</v>
      </c>
      <c r="BJ920" s="95">
        <f t="shared" si="545"/>
        <v>0.13124999999854481</v>
      </c>
      <c r="BK920" s="95">
        <f t="shared" si="546"/>
        <v>0.13124999999854481</v>
      </c>
      <c r="BL920" s="95">
        <f t="shared" si="547"/>
        <v>0.13124999999854481</v>
      </c>
      <c r="BM920" s="95" t="str">
        <f t="shared" si="548"/>
        <v>00:00</v>
      </c>
      <c r="BN920" s="110"/>
    </row>
    <row r="921" spans="1:66" s="8" customFormat="1" ht="12.75" customHeight="1" x14ac:dyDescent="0.25">
      <c r="A921" s="115">
        <v>846</v>
      </c>
      <c r="B921" s="115">
        <v>72</v>
      </c>
      <c r="C921" s="90">
        <v>14</v>
      </c>
      <c r="D921" s="115" t="s">
        <v>148</v>
      </c>
      <c r="E921" s="210" t="s">
        <v>983</v>
      </c>
      <c r="F921" s="115" t="s">
        <v>16</v>
      </c>
      <c r="G921" s="115" t="s">
        <v>17</v>
      </c>
      <c r="H921" s="115" t="s">
        <v>150</v>
      </c>
      <c r="I921" s="115" t="s">
        <v>449</v>
      </c>
      <c r="J921" s="117">
        <v>45646</v>
      </c>
      <c r="K921" s="116" t="s">
        <v>122</v>
      </c>
      <c r="L921" s="116">
        <v>461000619</v>
      </c>
      <c r="M921" s="117">
        <v>45647</v>
      </c>
      <c r="N921" s="118">
        <v>45646.854166666664</v>
      </c>
      <c r="O921" s="118">
        <v>45646.854166666664</v>
      </c>
      <c r="P921" s="118">
        <v>45646.857638888891</v>
      </c>
      <c r="Q921" s="118">
        <v>45647.052083333336</v>
      </c>
      <c r="R921" s="118" t="s">
        <v>118</v>
      </c>
      <c r="S921" s="118" t="s">
        <v>118</v>
      </c>
      <c r="T921" s="118">
        <v>45647.166666666664</v>
      </c>
      <c r="U921" s="118">
        <v>45647.361111111109</v>
      </c>
      <c r="V921" s="119">
        <f t="shared" si="540"/>
        <v>0.19791666667151731</v>
      </c>
      <c r="W921" s="185">
        <v>0.20833333333333334</v>
      </c>
      <c r="X921" s="119" t="str">
        <f t="shared" si="541"/>
        <v>00:00</v>
      </c>
      <c r="Y921" s="96">
        <v>0</v>
      </c>
      <c r="Z921" s="96">
        <v>45</v>
      </c>
      <c r="AA921" s="96">
        <f t="shared" ref="AA921:AA984" si="551">+Y921+Z921</f>
        <v>45</v>
      </c>
      <c r="AB921" s="97">
        <f t="shared" ref="AB921:AB984" si="552">+AD921/AA921*Y921</f>
        <v>0</v>
      </c>
      <c r="AC921" s="97">
        <f t="shared" ref="AC921:AC984" si="553">+AD921/AA921*Z921</f>
        <v>3018.1599999999994</v>
      </c>
      <c r="AD921" s="98">
        <f>4035.93-1017.77</f>
        <v>3018.16</v>
      </c>
      <c r="AE921" s="98">
        <f>4086-968.8</f>
        <v>3117.2</v>
      </c>
      <c r="AF921" s="98">
        <f>4098.6-1017.77</f>
        <v>3080.8300000000004</v>
      </c>
      <c r="AG921" s="98">
        <f t="shared" ref="AG921:AG984" si="554">+AF921-AD921</f>
        <v>62.670000000000528</v>
      </c>
      <c r="AH921" s="99">
        <v>672.5</v>
      </c>
      <c r="AI921" s="100">
        <f t="shared" ref="AI921:AI984" si="555">+AF921*AH921</f>
        <v>2071858.1750000003</v>
      </c>
      <c r="AJ921" s="100">
        <f t="shared" si="550"/>
        <v>0</v>
      </c>
      <c r="AK921" s="100">
        <v>0</v>
      </c>
      <c r="AL921" s="100">
        <v>24290</v>
      </c>
      <c r="AM921" s="100">
        <v>0</v>
      </c>
      <c r="AN921" s="100">
        <v>0</v>
      </c>
      <c r="AO921" s="100">
        <v>0</v>
      </c>
      <c r="AP921" s="100">
        <f>ROUNDUP(SUM(AI921:AO921)*5%,0)-1</f>
        <v>104807</v>
      </c>
      <c r="AQ921" s="101">
        <f>ROUNDUP(SUM(AI921:AP921),0)-1</f>
        <v>2200955</v>
      </c>
      <c r="AR921" s="101">
        <v>0</v>
      </c>
      <c r="AS921" s="101">
        <v>0</v>
      </c>
      <c r="AT921" s="137" t="s">
        <v>33</v>
      </c>
      <c r="AU921" s="120">
        <v>6</v>
      </c>
      <c r="AV921" s="121">
        <f>14.61-10.61</f>
        <v>4</v>
      </c>
      <c r="AW921" s="105">
        <v>0</v>
      </c>
      <c r="AX921" s="140">
        <f>IFERROR(((AG921+AG922)/(AF921+AF922))*100, "")</f>
        <v>1.5290587029717593</v>
      </c>
      <c r="AY921" s="141">
        <f>ROUNDUP((AG921+AG922)*AH921,0)</f>
        <v>42146</v>
      </c>
      <c r="AZ921" s="107"/>
      <c r="BA921" s="118">
        <v>45646.854166666664</v>
      </c>
      <c r="BB921" s="118">
        <v>45646.857638888891</v>
      </c>
      <c r="BC921" s="118">
        <v>45646.886805555558</v>
      </c>
      <c r="BD921" s="118">
        <v>45647.020833333336</v>
      </c>
      <c r="BE921" s="119">
        <f t="shared" si="544"/>
        <v>0.16666666667151731</v>
      </c>
      <c r="BF921" s="119">
        <v>6.9444444444444441E-3</v>
      </c>
      <c r="BG921" s="119">
        <v>2.9166666666666667E-2</v>
      </c>
      <c r="BH921" s="119">
        <f t="shared" si="545"/>
        <v>3.4722222262644209E-3</v>
      </c>
      <c r="BI921" s="119">
        <f t="shared" si="545"/>
        <v>2.9166666667151731E-2</v>
      </c>
      <c r="BJ921" s="119">
        <f t="shared" si="545"/>
        <v>0.13402777777810115</v>
      </c>
      <c r="BK921" s="119">
        <f t="shared" si="546"/>
        <v>0.16319444444525288</v>
      </c>
      <c r="BL921" s="119">
        <f t="shared" si="547"/>
        <v>0.12708333333414176</v>
      </c>
      <c r="BM921" s="119" t="str">
        <f t="shared" si="548"/>
        <v>00:00</v>
      </c>
      <c r="BN921" s="110" t="s">
        <v>1021</v>
      </c>
    </row>
    <row r="922" spans="1:66" s="8" customFormat="1" ht="12.75" customHeight="1" x14ac:dyDescent="0.25">
      <c r="A922" s="122"/>
      <c r="B922" s="122"/>
      <c r="C922" s="90">
        <v>1</v>
      </c>
      <c r="D922" s="122"/>
      <c r="E922" s="210" t="s">
        <v>1022</v>
      </c>
      <c r="F922" s="122"/>
      <c r="G922" s="122"/>
      <c r="H922" s="122"/>
      <c r="I922" s="122"/>
      <c r="J922" s="124"/>
      <c r="K922" s="123"/>
      <c r="L922" s="123"/>
      <c r="M922" s="124"/>
      <c r="N922" s="125"/>
      <c r="O922" s="125"/>
      <c r="P922" s="125"/>
      <c r="Q922" s="125"/>
      <c r="R922" s="125"/>
      <c r="S922" s="125"/>
      <c r="T922" s="125"/>
      <c r="U922" s="125"/>
      <c r="V922" s="126"/>
      <c r="W922" s="189"/>
      <c r="X922" s="126"/>
      <c r="Y922" s="96">
        <v>0</v>
      </c>
      <c r="Z922" s="96">
        <v>14</v>
      </c>
      <c r="AA922" s="96">
        <f t="shared" si="551"/>
        <v>14</v>
      </c>
      <c r="AB922" s="97">
        <f t="shared" si="552"/>
        <v>0</v>
      </c>
      <c r="AC922" s="97">
        <f t="shared" si="553"/>
        <v>1017.77</v>
      </c>
      <c r="AD922" s="98">
        <v>1017.77</v>
      </c>
      <c r="AE922" s="98">
        <v>968.8</v>
      </c>
      <c r="AF922" s="98">
        <v>1017.77</v>
      </c>
      <c r="AG922" s="98">
        <f t="shared" si="554"/>
        <v>0</v>
      </c>
      <c r="AH922" s="99">
        <v>672.5</v>
      </c>
      <c r="AI922" s="100">
        <f t="shared" si="555"/>
        <v>684450.32499999995</v>
      </c>
      <c r="AJ922" s="100">
        <f t="shared" si="550"/>
        <v>0</v>
      </c>
      <c r="AK922" s="100">
        <v>0</v>
      </c>
      <c r="AL922" s="100">
        <v>0</v>
      </c>
      <c r="AM922" s="100">
        <v>0</v>
      </c>
      <c r="AN922" s="100">
        <v>0</v>
      </c>
      <c r="AO922" s="100">
        <v>0</v>
      </c>
      <c r="AP922" s="100">
        <f t="shared" ref="AP922:AP949" si="556">ROUNDUP(SUM(AI922:AO922)*5%,0)</f>
        <v>34223</v>
      </c>
      <c r="AQ922" s="101">
        <f t="shared" ref="AQ922:AQ952" si="557">ROUNDUP(SUM(AI922:AP922),0)</f>
        <v>718674</v>
      </c>
      <c r="AR922" s="101">
        <v>0</v>
      </c>
      <c r="AS922" s="101">
        <v>0</v>
      </c>
      <c r="AT922" s="138"/>
      <c r="AU922" s="127"/>
      <c r="AV922" s="128"/>
      <c r="AW922" s="105">
        <v>0</v>
      </c>
      <c r="AX922" s="144"/>
      <c r="AY922" s="145"/>
      <c r="AZ922" s="107"/>
      <c r="BA922" s="125"/>
      <c r="BB922" s="125"/>
      <c r="BC922" s="125"/>
      <c r="BD922" s="125"/>
      <c r="BE922" s="126"/>
      <c r="BF922" s="126"/>
      <c r="BG922" s="126"/>
      <c r="BH922" s="126"/>
      <c r="BI922" s="126"/>
      <c r="BJ922" s="126"/>
      <c r="BK922" s="126"/>
      <c r="BL922" s="126"/>
      <c r="BM922" s="126"/>
      <c r="BN922" s="110" t="s">
        <v>1023</v>
      </c>
    </row>
    <row r="923" spans="1:66" s="8" customFormat="1" ht="12.75" customHeight="1" x14ac:dyDescent="0.25">
      <c r="A923" s="150">
        <v>847</v>
      </c>
      <c r="B923" s="150">
        <v>73</v>
      </c>
      <c r="C923" s="90">
        <v>1</v>
      </c>
      <c r="D923" s="111" t="s">
        <v>113</v>
      </c>
      <c r="E923" s="210" t="s">
        <v>1024</v>
      </c>
      <c r="F923" s="150" t="s">
        <v>32</v>
      </c>
      <c r="G923" s="150" t="s">
        <v>15</v>
      </c>
      <c r="H923" s="150" t="s">
        <v>135</v>
      </c>
      <c r="I923" s="150" t="s">
        <v>1025</v>
      </c>
      <c r="J923" s="151">
        <v>45647</v>
      </c>
      <c r="K923" s="135" t="s">
        <v>117</v>
      </c>
      <c r="L923" s="135">
        <v>261006139</v>
      </c>
      <c r="M923" s="151">
        <v>45647</v>
      </c>
      <c r="N923" s="152">
        <v>45647.260416666664</v>
      </c>
      <c r="O923" s="152">
        <v>45647.260416666664</v>
      </c>
      <c r="P923" s="152">
        <v>45647.270833333336</v>
      </c>
      <c r="Q923" s="152">
        <v>45647.46875</v>
      </c>
      <c r="R923" s="152" t="s">
        <v>118</v>
      </c>
      <c r="S923" s="152" t="s">
        <v>118</v>
      </c>
      <c r="T923" s="152">
        <v>45647.527777777781</v>
      </c>
      <c r="U923" s="152">
        <v>45647.707638888889</v>
      </c>
      <c r="V923" s="219">
        <f t="shared" ref="V923:V945" si="558">+Q923-O923</f>
        <v>0.20833333333575865</v>
      </c>
      <c r="W923" s="203">
        <v>0.20833333333333334</v>
      </c>
      <c r="X923" s="219">
        <f t="shared" ref="X923:X945" si="559">IF(VALUE(V923)&lt;=VALUE("05:00"),"00:00",VALUE(V923)-VALUE("05:00"))</f>
        <v>2.4253099528692701E-12</v>
      </c>
      <c r="Y923" s="96">
        <v>0</v>
      </c>
      <c r="Z923" s="96">
        <v>59</v>
      </c>
      <c r="AA923" s="96">
        <f t="shared" si="551"/>
        <v>59</v>
      </c>
      <c r="AB923" s="97">
        <f t="shared" si="552"/>
        <v>0</v>
      </c>
      <c r="AC923" s="97">
        <f t="shared" si="553"/>
        <v>3948.6399999999994</v>
      </c>
      <c r="AD923" s="98">
        <v>3948.64</v>
      </c>
      <c r="AE923" s="98">
        <v>4103.6000000000004</v>
      </c>
      <c r="AF923" s="98">
        <v>4104.6000000000004</v>
      </c>
      <c r="AG923" s="98">
        <f t="shared" si="554"/>
        <v>155.96000000000049</v>
      </c>
      <c r="AH923" s="99">
        <v>797.2</v>
      </c>
      <c r="AI923" s="100">
        <f t="shared" si="555"/>
        <v>3272187.1200000006</v>
      </c>
      <c r="AJ923" s="100">
        <f t="shared" si="550"/>
        <v>0</v>
      </c>
      <c r="AK923" s="100">
        <v>0</v>
      </c>
      <c r="AL923" s="100">
        <v>0</v>
      </c>
      <c r="AM923" s="100">
        <v>0</v>
      </c>
      <c r="AN923" s="100">
        <v>0</v>
      </c>
      <c r="AO923" s="100">
        <v>0</v>
      </c>
      <c r="AP923" s="100">
        <f t="shared" si="556"/>
        <v>163610</v>
      </c>
      <c r="AQ923" s="101">
        <f t="shared" si="557"/>
        <v>3435798</v>
      </c>
      <c r="AR923" s="101">
        <v>0</v>
      </c>
      <c r="AS923" s="101">
        <v>0</v>
      </c>
      <c r="AT923" s="102" t="s">
        <v>33</v>
      </c>
      <c r="AU923" s="109" t="s">
        <v>118</v>
      </c>
      <c r="AV923" s="100">
        <v>0</v>
      </c>
      <c r="AW923" s="105">
        <v>0</v>
      </c>
      <c r="AX923" s="216">
        <f t="shared" ref="AX923:AX944" si="560">IFERROR((AG923/AF923)*100, "")</f>
        <v>3.799639428933403</v>
      </c>
      <c r="AY923" s="217">
        <f t="shared" ref="AY923:AY944" si="561">ROUNDUP(AG923*AH923,0)</f>
        <v>124332</v>
      </c>
      <c r="AZ923" s="107"/>
      <c r="BA923" s="94">
        <v>45647.260416666664</v>
      </c>
      <c r="BB923" s="94">
        <v>45647.270833333336</v>
      </c>
      <c r="BC923" s="94">
        <v>45647.282638888886</v>
      </c>
      <c r="BD923" s="94">
        <v>45647.414583333331</v>
      </c>
      <c r="BE923" s="95">
        <f t="shared" ref="BE923:BE945" si="562">+BD923-BA923</f>
        <v>0.15416666666715173</v>
      </c>
      <c r="BF923" s="95">
        <v>0</v>
      </c>
      <c r="BG923" s="95">
        <v>1.1805555555555555E-2</v>
      </c>
      <c r="BH923" s="95">
        <f t="shared" ref="BH923:BJ945" si="563">+BB923-BA923</f>
        <v>1.0416666671517305E-2</v>
      </c>
      <c r="BI923" s="95">
        <f t="shared" si="563"/>
        <v>1.1805555550381541E-2</v>
      </c>
      <c r="BJ923" s="95">
        <f t="shared" si="563"/>
        <v>0.13194444444525288</v>
      </c>
      <c r="BK923" s="95">
        <f t="shared" ref="BK923:BK945" si="564">+BI923+BJ923</f>
        <v>0.14374999999563443</v>
      </c>
      <c r="BL923" s="95">
        <f t="shared" ref="BL923:BL945" si="565">+BE923-BH923-BF923-BG923</f>
        <v>0.13194444444007886</v>
      </c>
      <c r="BM923" s="95" t="str">
        <f t="shared" ref="BM923:BM945" si="566">IF(VALUE(BE923)&lt;=VALUE("05:00"),"00:00",VALUE(BE923)-VALUE("05:00"))</f>
        <v>00:00</v>
      </c>
      <c r="BN923" s="110">
        <v>0</v>
      </c>
    </row>
    <row r="924" spans="1:66" s="8" customFormat="1" ht="12.75" customHeight="1" x14ac:dyDescent="0.25">
      <c r="A924" s="150">
        <v>848</v>
      </c>
      <c r="B924" s="150">
        <v>74</v>
      </c>
      <c r="C924" s="90">
        <v>2</v>
      </c>
      <c r="D924" s="111" t="s">
        <v>148</v>
      </c>
      <c r="E924" s="210" t="s">
        <v>1022</v>
      </c>
      <c r="F924" s="150" t="s">
        <v>16</v>
      </c>
      <c r="G924" s="150" t="s">
        <v>17</v>
      </c>
      <c r="H924" s="150" t="s">
        <v>150</v>
      </c>
      <c r="I924" s="150" t="s">
        <v>450</v>
      </c>
      <c r="J924" s="151">
        <v>45646</v>
      </c>
      <c r="K924" s="135" t="s">
        <v>122</v>
      </c>
      <c r="L924" s="135">
        <v>461000620</v>
      </c>
      <c r="M924" s="151">
        <v>45647</v>
      </c>
      <c r="N924" s="152">
        <v>45647.4375</v>
      </c>
      <c r="O924" s="152">
        <v>45647.4375</v>
      </c>
      <c r="P924" s="152">
        <v>45647.444444444445</v>
      </c>
      <c r="Q924" s="152">
        <v>45647.625</v>
      </c>
      <c r="R924" s="152" t="s">
        <v>118</v>
      </c>
      <c r="S924" s="152" t="s">
        <v>118</v>
      </c>
      <c r="T924" s="152">
        <v>45647.635416666664</v>
      </c>
      <c r="U924" s="152">
        <v>45647.833333333336</v>
      </c>
      <c r="V924" s="219">
        <f t="shared" si="558"/>
        <v>0.1875</v>
      </c>
      <c r="W924" s="203">
        <v>0.20833333333333334</v>
      </c>
      <c r="X924" s="219" t="str">
        <f t="shared" si="559"/>
        <v>00:00</v>
      </c>
      <c r="Y924" s="96">
        <v>0</v>
      </c>
      <c r="Z924" s="96">
        <v>59</v>
      </c>
      <c r="AA924" s="96">
        <f t="shared" si="551"/>
        <v>59</v>
      </c>
      <c r="AB924" s="97">
        <f t="shared" si="552"/>
        <v>0</v>
      </c>
      <c r="AC924" s="97">
        <f t="shared" si="553"/>
        <v>4108.34</v>
      </c>
      <c r="AD924" s="98">
        <v>4108.34</v>
      </c>
      <c r="AE924" s="98">
        <v>4096.6000000000004</v>
      </c>
      <c r="AF924" s="98">
        <v>4127.3999999999996</v>
      </c>
      <c r="AG924" s="98">
        <f t="shared" si="554"/>
        <v>19.059999999999491</v>
      </c>
      <c r="AH924" s="99">
        <v>672.5</v>
      </c>
      <c r="AI924" s="100">
        <f t="shared" si="555"/>
        <v>2775676.4999999995</v>
      </c>
      <c r="AJ924" s="100">
        <f t="shared" si="550"/>
        <v>0</v>
      </c>
      <c r="AK924" s="100">
        <v>0</v>
      </c>
      <c r="AL924" s="100">
        <f>8850</f>
        <v>8850</v>
      </c>
      <c r="AM924" s="100">
        <v>0</v>
      </c>
      <c r="AN924" s="100">
        <v>0</v>
      </c>
      <c r="AO924" s="100">
        <v>0</v>
      </c>
      <c r="AP924" s="100">
        <f t="shared" si="556"/>
        <v>139227</v>
      </c>
      <c r="AQ924" s="101">
        <f t="shared" si="557"/>
        <v>2923754</v>
      </c>
      <c r="AR924" s="101">
        <v>0</v>
      </c>
      <c r="AS924" s="101">
        <v>0</v>
      </c>
      <c r="AT924" s="102" t="s">
        <v>33</v>
      </c>
      <c r="AU924" s="109">
        <v>21</v>
      </c>
      <c r="AV924" s="100">
        <f>41.73-26.73</f>
        <v>14.999999999999996</v>
      </c>
      <c r="AW924" s="105">
        <v>0</v>
      </c>
      <c r="AX924" s="216">
        <f t="shared" si="560"/>
        <v>0.46179192712117778</v>
      </c>
      <c r="AY924" s="217">
        <f t="shared" si="561"/>
        <v>12818</v>
      </c>
      <c r="AZ924" s="107"/>
      <c r="BA924" s="94">
        <v>45647.4375</v>
      </c>
      <c r="BB924" s="94">
        <v>45647.444444444445</v>
      </c>
      <c r="BC924" s="94">
        <v>45647.444444444445</v>
      </c>
      <c r="BD924" s="94">
        <v>45647.570833333331</v>
      </c>
      <c r="BE924" s="95">
        <f t="shared" si="562"/>
        <v>0.13333333333139308</v>
      </c>
      <c r="BF924" s="95">
        <v>8.3333333333333332E-3</v>
      </c>
      <c r="BG924" s="95">
        <v>0</v>
      </c>
      <c r="BH924" s="95">
        <f t="shared" si="563"/>
        <v>6.9444444452528842E-3</v>
      </c>
      <c r="BI924" s="95">
        <f t="shared" si="563"/>
        <v>0</v>
      </c>
      <c r="BJ924" s="95">
        <f t="shared" si="563"/>
        <v>0.12638888888614019</v>
      </c>
      <c r="BK924" s="95">
        <f t="shared" si="564"/>
        <v>0.12638888888614019</v>
      </c>
      <c r="BL924" s="95">
        <f t="shared" si="565"/>
        <v>0.11805555555280686</v>
      </c>
      <c r="BM924" s="95" t="str">
        <f t="shared" si="566"/>
        <v>00:00</v>
      </c>
      <c r="BN924" s="110"/>
    </row>
    <row r="925" spans="1:66" s="8" customFormat="1" ht="12.75" customHeight="1" x14ac:dyDescent="0.25">
      <c r="A925" s="150">
        <v>849</v>
      </c>
      <c r="B925" s="150">
        <v>75</v>
      </c>
      <c r="C925" s="90">
        <v>7</v>
      </c>
      <c r="D925" s="111" t="s">
        <v>113</v>
      </c>
      <c r="E925" s="210" t="s">
        <v>985</v>
      </c>
      <c r="F925" s="150" t="s">
        <v>27</v>
      </c>
      <c r="G925" s="150" t="s">
        <v>12</v>
      </c>
      <c r="H925" s="150" t="s">
        <v>115</v>
      </c>
      <c r="I925" s="150" t="s">
        <v>1026</v>
      </c>
      <c r="J925" s="151">
        <v>45647</v>
      </c>
      <c r="K925" s="135" t="s">
        <v>117</v>
      </c>
      <c r="L925" s="135">
        <v>282001084</v>
      </c>
      <c r="M925" s="151">
        <v>45648</v>
      </c>
      <c r="N925" s="152">
        <v>45647.760416666664</v>
      </c>
      <c r="O925" s="152">
        <v>45647.760416666664</v>
      </c>
      <c r="P925" s="152">
        <v>45647.770833333336</v>
      </c>
      <c r="Q925" s="152">
        <v>45647.958333333336</v>
      </c>
      <c r="R925" s="152" t="s">
        <v>118</v>
      </c>
      <c r="S925" s="152" t="s">
        <v>118</v>
      </c>
      <c r="T925" s="152">
        <v>45648.083333333336</v>
      </c>
      <c r="U925" s="152">
        <v>45648.236111111109</v>
      </c>
      <c r="V925" s="219">
        <f t="shared" si="558"/>
        <v>0.19791666667151731</v>
      </c>
      <c r="W925" s="203">
        <v>0.20833333333333334</v>
      </c>
      <c r="X925" s="219" t="str">
        <f t="shared" si="559"/>
        <v>00:00</v>
      </c>
      <c r="Y925" s="96">
        <v>0</v>
      </c>
      <c r="Z925" s="96">
        <v>58</v>
      </c>
      <c r="AA925" s="96">
        <f t="shared" si="551"/>
        <v>58</v>
      </c>
      <c r="AB925" s="97">
        <f t="shared" si="552"/>
        <v>0</v>
      </c>
      <c r="AC925" s="97">
        <f t="shared" si="553"/>
        <v>4033.35</v>
      </c>
      <c r="AD925" s="98">
        <v>4033.35</v>
      </c>
      <c r="AE925" s="98">
        <v>4036.4</v>
      </c>
      <c r="AF925" s="98">
        <v>4063.4</v>
      </c>
      <c r="AG925" s="98">
        <f t="shared" si="554"/>
        <v>30.050000000000182</v>
      </c>
      <c r="AH925" s="99">
        <v>1586.7</v>
      </c>
      <c r="AI925" s="100">
        <f t="shared" si="555"/>
        <v>6447396.7800000003</v>
      </c>
      <c r="AJ925" s="100">
        <f t="shared" si="550"/>
        <v>0</v>
      </c>
      <c r="AK925" s="100">
        <v>0</v>
      </c>
      <c r="AL925" s="100">
        <v>24140</v>
      </c>
      <c r="AM925" s="100">
        <v>0</v>
      </c>
      <c r="AN925" s="100">
        <v>0</v>
      </c>
      <c r="AO925" s="100">
        <f>IFERROR(AF925*20+(((AJ925/AH925)/2)*20),0)</f>
        <v>81268</v>
      </c>
      <c r="AP925" s="100">
        <f t="shared" si="556"/>
        <v>327641</v>
      </c>
      <c r="AQ925" s="101">
        <f t="shared" si="557"/>
        <v>6880446</v>
      </c>
      <c r="AR925" s="101">
        <v>0</v>
      </c>
      <c r="AS925" s="101">
        <v>0</v>
      </c>
      <c r="AT925" s="102" t="s">
        <v>33</v>
      </c>
      <c r="AU925" s="109">
        <v>18</v>
      </c>
      <c r="AV925" s="100">
        <f>35.4-23.4</f>
        <v>12</v>
      </c>
      <c r="AW925" s="105">
        <v>0</v>
      </c>
      <c r="AX925" s="216">
        <f t="shared" si="560"/>
        <v>0.7395284736919866</v>
      </c>
      <c r="AY925" s="217">
        <f t="shared" si="561"/>
        <v>47681</v>
      </c>
      <c r="AZ925" s="107"/>
      <c r="BA925" s="94">
        <v>45647.760416666664</v>
      </c>
      <c r="BB925" s="94">
        <v>45647.770833333336</v>
      </c>
      <c r="BC925" s="94">
        <v>45647.770833333336</v>
      </c>
      <c r="BD925" s="94">
        <v>45647.93472222222</v>
      </c>
      <c r="BE925" s="95">
        <f t="shared" si="562"/>
        <v>0.17430555555620231</v>
      </c>
      <c r="BF925" s="95">
        <v>0</v>
      </c>
      <c r="BG925" s="95">
        <v>4.2361111111111113E-2</v>
      </c>
      <c r="BH925" s="95">
        <f t="shared" si="563"/>
        <v>1.0416666671517305E-2</v>
      </c>
      <c r="BI925" s="95">
        <f t="shared" si="563"/>
        <v>0</v>
      </c>
      <c r="BJ925" s="95">
        <f t="shared" si="563"/>
        <v>0.163888888884685</v>
      </c>
      <c r="BK925" s="95">
        <f t="shared" si="564"/>
        <v>0.163888888884685</v>
      </c>
      <c r="BL925" s="95">
        <f t="shared" si="565"/>
        <v>0.12152777777357389</v>
      </c>
      <c r="BM925" s="95" t="str">
        <f t="shared" si="566"/>
        <v>00:00</v>
      </c>
      <c r="BN925" s="110"/>
    </row>
    <row r="926" spans="1:66" s="8" customFormat="1" ht="12.75" customHeight="1" x14ac:dyDescent="0.25">
      <c r="A926" s="150">
        <v>850</v>
      </c>
      <c r="B926" s="150">
        <v>76</v>
      </c>
      <c r="C926" s="90">
        <v>3</v>
      </c>
      <c r="D926" s="111" t="s">
        <v>148</v>
      </c>
      <c r="E926" s="210" t="s">
        <v>1022</v>
      </c>
      <c r="F926" s="150" t="s">
        <v>16</v>
      </c>
      <c r="G926" s="150" t="s">
        <v>17</v>
      </c>
      <c r="H926" s="150" t="s">
        <v>150</v>
      </c>
      <c r="I926" s="150" t="s">
        <v>452</v>
      </c>
      <c r="J926" s="151">
        <v>45646</v>
      </c>
      <c r="K926" s="135" t="s">
        <v>122</v>
      </c>
      <c r="L926" s="135">
        <v>461000621</v>
      </c>
      <c r="M926" s="151">
        <v>45648</v>
      </c>
      <c r="N926" s="152">
        <v>45647.9375</v>
      </c>
      <c r="O926" s="152">
        <v>45647.9375</v>
      </c>
      <c r="P926" s="152">
        <v>45647.947916666664</v>
      </c>
      <c r="Q926" s="152">
        <v>45648.125</v>
      </c>
      <c r="R926" s="152" t="s">
        <v>118</v>
      </c>
      <c r="S926" s="152" t="s">
        <v>118</v>
      </c>
      <c r="T926" s="152">
        <v>45648.229166666664</v>
      </c>
      <c r="U926" s="152">
        <v>45648.395833333336</v>
      </c>
      <c r="V926" s="219">
        <f t="shared" si="558"/>
        <v>0.1875</v>
      </c>
      <c r="W926" s="203">
        <v>0.20833333333333334</v>
      </c>
      <c r="X926" s="219" t="str">
        <f t="shared" si="559"/>
        <v>00:00</v>
      </c>
      <c r="Y926" s="96">
        <v>0</v>
      </c>
      <c r="Z926" s="96">
        <v>59</v>
      </c>
      <c r="AA926" s="96">
        <f t="shared" si="551"/>
        <v>59</v>
      </c>
      <c r="AB926" s="97">
        <f t="shared" si="552"/>
        <v>0</v>
      </c>
      <c r="AC926" s="97">
        <f t="shared" si="553"/>
        <v>4066.2599999999998</v>
      </c>
      <c r="AD926" s="98">
        <v>4066.26</v>
      </c>
      <c r="AE926" s="98">
        <v>4107</v>
      </c>
      <c r="AF926" s="98">
        <v>4118</v>
      </c>
      <c r="AG926" s="98">
        <f t="shared" si="554"/>
        <v>51.739999999999782</v>
      </c>
      <c r="AH926" s="99">
        <v>672.5</v>
      </c>
      <c r="AI926" s="100">
        <f t="shared" si="555"/>
        <v>2769355</v>
      </c>
      <c r="AJ926" s="100">
        <f t="shared" si="550"/>
        <v>0</v>
      </c>
      <c r="AK926" s="100">
        <v>0</v>
      </c>
      <c r="AL926" s="100">
        <v>24290</v>
      </c>
      <c r="AM926" s="100">
        <v>0</v>
      </c>
      <c r="AN926" s="100">
        <v>0</v>
      </c>
      <c r="AO926" s="100">
        <v>0</v>
      </c>
      <c r="AP926" s="100">
        <f t="shared" si="556"/>
        <v>139683</v>
      </c>
      <c r="AQ926" s="101">
        <f t="shared" si="557"/>
        <v>2933328</v>
      </c>
      <c r="AR926" s="101">
        <v>0</v>
      </c>
      <c r="AS926" s="101">
        <v>0</v>
      </c>
      <c r="AT926" s="102" t="s">
        <v>33</v>
      </c>
      <c r="AU926" s="109">
        <v>3</v>
      </c>
      <c r="AV926" s="100">
        <f>12.35-10.35</f>
        <v>2</v>
      </c>
      <c r="AW926" s="105">
        <v>0</v>
      </c>
      <c r="AX926" s="216">
        <f t="shared" si="560"/>
        <v>1.2564351627003347</v>
      </c>
      <c r="AY926" s="217">
        <f t="shared" si="561"/>
        <v>34796</v>
      </c>
      <c r="AZ926" s="107"/>
      <c r="BA926" s="94">
        <v>45647.9375</v>
      </c>
      <c r="BB926" s="94">
        <v>45647.947916666664</v>
      </c>
      <c r="BC926" s="94">
        <v>45647.947916666664</v>
      </c>
      <c r="BD926" s="94">
        <v>45648.067361111112</v>
      </c>
      <c r="BE926" s="95">
        <f t="shared" si="562"/>
        <v>0.12986111111240461</v>
      </c>
      <c r="BF926" s="95">
        <v>0</v>
      </c>
      <c r="BG926" s="95">
        <v>0</v>
      </c>
      <c r="BH926" s="95">
        <f t="shared" si="563"/>
        <v>1.0416666664241347E-2</v>
      </c>
      <c r="BI926" s="95">
        <f t="shared" si="563"/>
        <v>0</v>
      </c>
      <c r="BJ926" s="95">
        <f t="shared" si="563"/>
        <v>0.11944444444816327</v>
      </c>
      <c r="BK926" s="95">
        <f t="shared" si="564"/>
        <v>0.11944444444816327</v>
      </c>
      <c r="BL926" s="95">
        <f t="shared" si="565"/>
        <v>0.11944444444816327</v>
      </c>
      <c r="BM926" s="95" t="str">
        <f t="shared" si="566"/>
        <v>00:00</v>
      </c>
      <c r="BN926" s="110"/>
    </row>
    <row r="927" spans="1:66" s="8" customFormat="1" ht="12.75" customHeight="1" x14ac:dyDescent="0.25">
      <c r="A927" s="150">
        <v>851</v>
      </c>
      <c r="B927" s="150">
        <v>77</v>
      </c>
      <c r="C927" s="90">
        <v>6</v>
      </c>
      <c r="D927" s="111" t="s">
        <v>113</v>
      </c>
      <c r="E927" s="210" t="s">
        <v>996</v>
      </c>
      <c r="F927" s="150" t="s">
        <v>29</v>
      </c>
      <c r="G927" s="150" t="s">
        <v>15</v>
      </c>
      <c r="H927" s="150" t="s">
        <v>124</v>
      </c>
      <c r="I927" s="150" t="s">
        <v>1027</v>
      </c>
      <c r="J927" s="151">
        <v>45647</v>
      </c>
      <c r="K927" s="135" t="s">
        <v>117</v>
      </c>
      <c r="L927" s="135">
        <v>461000622</v>
      </c>
      <c r="M927" s="151">
        <v>45648</v>
      </c>
      <c r="N927" s="152">
        <v>45648.3125</v>
      </c>
      <c r="O927" s="152">
        <v>45648.3125</v>
      </c>
      <c r="P927" s="152">
        <v>45648.322916666664</v>
      </c>
      <c r="Q927" s="152">
        <v>45648.520833333336</v>
      </c>
      <c r="R927" s="152" t="s">
        <v>118</v>
      </c>
      <c r="S927" s="152" t="s">
        <v>118</v>
      </c>
      <c r="T927" s="152">
        <v>45648.541666666664</v>
      </c>
      <c r="U927" s="152">
        <v>45648.661111111112</v>
      </c>
      <c r="V927" s="219">
        <f t="shared" si="558"/>
        <v>0.20833333333575865</v>
      </c>
      <c r="W927" s="203">
        <v>0.20833333333333334</v>
      </c>
      <c r="X927" s="219">
        <f t="shared" si="559"/>
        <v>2.4253099528692701E-12</v>
      </c>
      <c r="Y927" s="96">
        <v>0</v>
      </c>
      <c r="Z927" s="96">
        <v>58</v>
      </c>
      <c r="AA927" s="96">
        <f t="shared" si="551"/>
        <v>58</v>
      </c>
      <c r="AB927" s="97">
        <f t="shared" si="552"/>
        <v>0</v>
      </c>
      <c r="AC927" s="97">
        <f t="shared" si="553"/>
        <v>3857</v>
      </c>
      <c r="AD927" s="98">
        <v>3857</v>
      </c>
      <c r="AE927" s="98">
        <v>4060</v>
      </c>
      <c r="AF927" s="98">
        <v>4060</v>
      </c>
      <c r="AG927" s="98">
        <f t="shared" si="554"/>
        <v>203</v>
      </c>
      <c r="AH927" s="99">
        <v>797.2</v>
      </c>
      <c r="AI927" s="100">
        <f t="shared" si="555"/>
        <v>3236632</v>
      </c>
      <c r="AJ927" s="100">
        <f t="shared" si="550"/>
        <v>0</v>
      </c>
      <c r="AK927" s="100">
        <v>0</v>
      </c>
      <c r="AL927" s="100">
        <v>0</v>
      </c>
      <c r="AM927" s="100">
        <v>0</v>
      </c>
      <c r="AN927" s="100">
        <v>0</v>
      </c>
      <c r="AO927" s="100">
        <v>0</v>
      </c>
      <c r="AP927" s="100">
        <f t="shared" si="556"/>
        <v>161832</v>
      </c>
      <c r="AQ927" s="101">
        <f t="shared" si="557"/>
        <v>3398464</v>
      </c>
      <c r="AR927" s="101">
        <v>0</v>
      </c>
      <c r="AS927" s="101">
        <v>0</v>
      </c>
      <c r="AT927" s="102" t="s">
        <v>33</v>
      </c>
      <c r="AU927" s="109" t="s">
        <v>118</v>
      </c>
      <c r="AV927" s="100">
        <v>0</v>
      </c>
      <c r="AW927" s="105">
        <v>0</v>
      </c>
      <c r="AX927" s="216">
        <f t="shared" si="560"/>
        <v>5</v>
      </c>
      <c r="AY927" s="217">
        <f t="shared" si="561"/>
        <v>161832</v>
      </c>
      <c r="AZ927" s="107"/>
      <c r="BA927" s="94">
        <v>45648.3125</v>
      </c>
      <c r="BB927" s="94">
        <v>45648.322916666664</v>
      </c>
      <c r="BC927" s="94">
        <v>45648.322916666664</v>
      </c>
      <c r="BD927" s="94">
        <v>45648.477083333331</v>
      </c>
      <c r="BE927" s="95">
        <f t="shared" si="562"/>
        <v>0.16458333333139308</v>
      </c>
      <c r="BF927" s="95">
        <v>0</v>
      </c>
      <c r="BG927" s="95">
        <v>4.6527777777777779E-2</v>
      </c>
      <c r="BH927" s="95">
        <f t="shared" si="563"/>
        <v>1.0416666664241347E-2</v>
      </c>
      <c r="BI927" s="95">
        <f t="shared" si="563"/>
        <v>0</v>
      </c>
      <c r="BJ927" s="95">
        <f t="shared" si="563"/>
        <v>0.15416666666715173</v>
      </c>
      <c r="BK927" s="95">
        <f t="shared" si="564"/>
        <v>0.15416666666715173</v>
      </c>
      <c r="BL927" s="95">
        <f t="shared" si="565"/>
        <v>0.10763888888937395</v>
      </c>
      <c r="BM927" s="95" t="str">
        <f t="shared" si="566"/>
        <v>00:00</v>
      </c>
      <c r="BN927" s="110"/>
    </row>
    <row r="928" spans="1:66" s="8" customFormat="1" ht="12.75" customHeight="1" x14ac:dyDescent="0.25">
      <c r="A928" s="150">
        <v>852</v>
      </c>
      <c r="B928" s="150">
        <v>78</v>
      </c>
      <c r="C928" s="90">
        <v>4</v>
      </c>
      <c r="D928" s="111" t="s">
        <v>148</v>
      </c>
      <c r="E928" s="210" t="s">
        <v>1022</v>
      </c>
      <c r="F928" s="150" t="s">
        <v>16</v>
      </c>
      <c r="G928" s="150" t="s">
        <v>17</v>
      </c>
      <c r="H928" s="150" t="s">
        <v>150</v>
      </c>
      <c r="I928" s="150" t="s">
        <v>454</v>
      </c>
      <c r="J928" s="151">
        <v>45646</v>
      </c>
      <c r="K928" s="135" t="s">
        <v>122</v>
      </c>
      <c r="L928" s="135">
        <v>461000623</v>
      </c>
      <c r="M928" s="151">
        <v>45648</v>
      </c>
      <c r="N928" s="152">
        <v>45648.638888888891</v>
      </c>
      <c r="O928" s="152">
        <v>45648.625</v>
      </c>
      <c r="P928" s="152">
        <v>45648.642361111109</v>
      </c>
      <c r="Q928" s="152">
        <v>45648.833333333336</v>
      </c>
      <c r="R928" s="152">
        <v>45648.638888888891</v>
      </c>
      <c r="S928" s="152" t="s">
        <v>118</v>
      </c>
      <c r="T928" s="152">
        <v>45648.895833333336</v>
      </c>
      <c r="U928" s="152">
        <v>45648.984722222223</v>
      </c>
      <c r="V928" s="219">
        <f t="shared" si="558"/>
        <v>0.20833333333575865</v>
      </c>
      <c r="W928" s="203">
        <v>0.20833333333333334</v>
      </c>
      <c r="X928" s="219">
        <f t="shared" si="559"/>
        <v>2.4253099528692701E-12</v>
      </c>
      <c r="Y928" s="96">
        <v>0</v>
      </c>
      <c r="Z928" s="96">
        <v>57</v>
      </c>
      <c r="AA928" s="96">
        <f t="shared" si="551"/>
        <v>57</v>
      </c>
      <c r="AB928" s="97">
        <f t="shared" si="552"/>
        <v>0</v>
      </c>
      <c r="AC928" s="97">
        <f t="shared" si="553"/>
        <v>3972.61</v>
      </c>
      <c r="AD928" s="98">
        <v>3972.61</v>
      </c>
      <c r="AE928" s="98">
        <v>3982.2</v>
      </c>
      <c r="AF928" s="98">
        <v>3997.6</v>
      </c>
      <c r="AG928" s="98">
        <f t="shared" si="554"/>
        <v>24.989999999999782</v>
      </c>
      <c r="AH928" s="99">
        <v>672.5</v>
      </c>
      <c r="AI928" s="100">
        <f t="shared" si="555"/>
        <v>2688386</v>
      </c>
      <c r="AJ928" s="100">
        <f>(2*AH928)*2</f>
        <v>2690</v>
      </c>
      <c r="AK928" s="100">
        <v>0</v>
      </c>
      <c r="AL928" s="100">
        <v>0</v>
      </c>
      <c r="AM928" s="100">
        <v>0</v>
      </c>
      <c r="AN928" s="100">
        <v>0</v>
      </c>
      <c r="AO928" s="100">
        <v>0</v>
      </c>
      <c r="AP928" s="100">
        <f t="shared" si="556"/>
        <v>134554</v>
      </c>
      <c r="AQ928" s="101">
        <f t="shared" si="557"/>
        <v>2825630</v>
      </c>
      <c r="AR928" s="101">
        <v>0</v>
      </c>
      <c r="AS928" s="101">
        <v>0</v>
      </c>
      <c r="AT928" s="102" t="s">
        <v>33</v>
      </c>
      <c r="AU928" s="109" t="s">
        <v>118</v>
      </c>
      <c r="AV928" s="100">
        <v>0</v>
      </c>
      <c r="AW928" s="105">
        <v>0</v>
      </c>
      <c r="AX928" s="216">
        <f t="shared" si="560"/>
        <v>0.62512507504502157</v>
      </c>
      <c r="AY928" s="217">
        <f t="shared" si="561"/>
        <v>16806</v>
      </c>
      <c r="AZ928" s="107"/>
      <c r="BA928" s="94">
        <v>45648.638888888891</v>
      </c>
      <c r="BB928" s="94">
        <v>45648.642361111109</v>
      </c>
      <c r="BC928" s="94">
        <v>45648.642361111109</v>
      </c>
      <c r="BD928" s="94">
        <v>45648.765277777777</v>
      </c>
      <c r="BE928" s="95">
        <f t="shared" si="562"/>
        <v>0.12638888888614019</v>
      </c>
      <c r="BF928" s="95">
        <v>3.472222222222222E-3</v>
      </c>
      <c r="BG928" s="95">
        <v>0</v>
      </c>
      <c r="BH928" s="95">
        <f t="shared" si="563"/>
        <v>3.4722222189884633E-3</v>
      </c>
      <c r="BI928" s="95">
        <f t="shared" si="563"/>
        <v>0</v>
      </c>
      <c r="BJ928" s="95">
        <f t="shared" si="563"/>
        <v>0.12291666666715173</v>
      </c>
      <c r="BK928" s="95">
        <f t="shared" si="564"/>
        <v>0.12291666666715173</v>
      </c>
      <c r="BL928" s="95">
        <f t="shared" si="565"/>
        <v>0.11944444444492951</v>
      </c>
      <c r="BM928" s="95" t="str">
        <f t="shared" si="566"/>
        <v>00:00</v>
      </c>
      <c r="BN928" s="110"/>
    </row>
    <row r="929" spans="1:66" s="8" customFormat="1" ht="12.75" customHeight="1" x14ac:dyDescent="0.25">
      <c r="A929" s="150">
        <v>853</v>
      </c>
      <c r="B929" s="150">
        <v>79</v>
      </c>
      <c r="C929" s="90">
        <v>5</v>
      </c>
      <c r="D929" s="111" t="s">
        <v>148</v>
      </c>
      <c r="E929" s="210" t="s">
        <v>1022</v>
      </c>
      <c r="F929" s="150" t="s">
        <v>16</v>
      </c>
      <c r="G929" s="150" t="s">
        <v>17</v>
      </c>
      <c r="H929" s="150" t="s">
        <v>150</v>
      </c>
      <c r="I929" s="150" t="s">
        <v>456</v>
      </c>
      <c r="J929" s="151">
        <v>45646</v>
      </c>
      <c r="K929" s="135" t="s">
        <v>117</v>
      </c>
      <c r="L929" s="135">
        <v>461000624</v>
      </c>
      <c r="M929" s="151">
        <v>45649</v>
      </c>
      <c r="N929" s="152">
        <v>45648.75</v>
      </c>
      <c r="O929" s="152">
        <v>45648.75</v>
      </c>
      <c r="P929" s="152">
        <v>45648.753472222219</v>
      </c>
      <c r="Q929" s="152">
        <v>45648.9375</v>
      </c>
      <c r="R929" s="152" t="s">
        <v>118</v>
      </c>
      <c r="S929" s="152" t="s">
        <v>118</v>
      </c>
      <c r="T929" s="152">
        <v>45649.0625</v>
      </c>
      <c r="U929" s="152">
        <v>45649.208333333336</v>
      </c>
      <c r="V929" s="219">
        <f t="shared" si="558"/>
        <v>0.1875</v>
      </c>
      <c r="W929" s="203">
        <v>0.20833333333333334</v>
      </c>
      <c r="X929" s="219" t="str">
        <f t="shared" si="559"/>
        <v>00:00</v>
      </c>
      <c r="Y929" s="96">
        <v>0</v>
      </c>
      <c r="Z929" s="96">
        <v>58</v>
      </c>
      <c r="AA929" s="96">
        <f t="shared" si="551"/>
        <v>58</v>
      </c>
      <c r="AB929" s="97">
        <f t="shared" si="552"/>
        <v>0</v>
      </c>
      <c r="AC929" s="97">
        <f t="shared" si="553"/>
        <v>4051.46</v>
      </c>
      <c r="AD929" s="98">
        <v>4051.46</v>
      </c>
      <c r="AE929" s="98">
        <v>4032.6</v>
      </c>
      <c r="AF929" s="98">
        <v>4062.2</v>
      </c>
      <c r="AG929" s="98">
        <f t="shared" si="554"/>
        <v>10.739999999999782</v>
      </c>
      <c r="AH929" s="99">
        <v>672.5</v>
      </c>
      <c r="AI929" s="100">
        <f t="shared" si="555"/>
        <v>2731829.5</v>
      </c>
      <c r="AJ929" s="100">
        <f>(0*AH929)*2</f>
        <v>0</v>
      </c>
      <c r="AK929" s="100">
        <v>0</v>
      </c>
      <c r="AL929" s="100">
        <v>24140</v>
      </c>
      <c r="AM929" s="100">
        <v>0</v>
      </c>
      <c r="AN929" s="100">
        <v>0</v>
      </c>
      <c r="AO929" s="100">
        <v>0</v>
      </c>
      <c r="AP929" s="100">
        <f t="shared" si="556"/>
        <v>137799</v>
      </c>
      <c r="AQ929" s="101">
        <f t="shared" si="557"/>
        <v>2893769</v>
      </c>
      <c r="AR929" s="101">
        <v>0</v>
      </c>
      <c r="AS929" s="101">
        <v>0</v>
      </c>
      <c r="AT929" s="102" t="s">
        <v>33</v>
      </c>
      <c r="AU929" s="109">
        <v>10</v>
      </c>
      <c r="AV929" s="100">
        <f>32.95-26.95</f>
        <v>6.0000000000000036</v>
      </c>
      <c r="AW929" s="105">
        <v>0</v>
      </c>
      <c r="AX929" s="216">
        <f t="shared" si="560"/>
        <v>0.26438875486189212</v>
      </c>
      <c r="AY929" s="217">
        <f t="shared" si="561"/>
        <v>7223</v>
      </c>
      <c r="AZ929" s="107"/>
      <c r="BA929" s="94">
        <v>45648.75</v>
      </c>
      <c r="BB929" s="94">
        <v>45648.753472222219</v>
      </c>
      <c r="BC929" s="94">
        <v>45648.768055555556</v>
      </c>
      <c r="BD929" s="94">
        <v>45648.878472222219</v>
      </c>
      <c r="BE929" s="95">
        <f t="shared" si="562"/>
        <v>0.12847222221898846</v>
      </c>
      <c r="BF929" s="95">
        <v>0</v>
      </c>
      <c r="BG929" s="95">
        <v>1.4583333333333334E-2</v>
      </c>
      <c r="BH929" s="95">
        <f t="shared" si="563"/>
        <v>3.4722222189884633E-3</v>
      </c>
      <c r="BI929" s="95">
        <f t="shared" si="563"/>
        <v>1.4583333337213844E-2</v>
      </c>
      <c r="BJ929" s="95">
        <f t="shared" si="563"/>
        <v>0.11041666666278616</v>
      </c>
      <c r="BK929" s="95">
        <f t="shared" si="564"/>
        <v>0.125</v>
      </c>
      <c r="BL929" s="95">
        <f t="shared" si="565"/>
        <v>0.11041666666666666</v>
      </c>
      <c r="BM929" s="95" t="str">
        <f t="shared" si="566"/>
        <v>00:00</v>
      </c>
      <c r="BN929" s="110"/>
    </row>
    <row r="930" spans="1:66" s="8" customFormat="1" ht="12.75" customHeight="1" x14ac:dyDescent="0.25">
      <c r="A930" s="150">
        <v>854</v>
      </c>
      <c r="B930" s="150">
        <v>80</v>
      </c>
      <c r="C930" s="90">
        <v>6</v>
      </c>
      <c r="D930" s="111" t="s">
        <v>148</v>
      </c>
      <c r="E930" s="210" t="s">
        <v>1022</v>
      </c>
      <c r="F930" s="150" t="s">
        <v>16</v>
      </c>
      <c r="G930" s="150" t="s">
        <v>17</v>
      </c>
      <c r="H930" s="150" t="s">
        <v>150</v>
      </c>
      <c r="I930" s="150" t="s">
        <v>457</v>
      </c>
      <c r="J930" s="151">
        <v>45647</v>
      </c>
      <c r="K930" s="135" t="s">
        <v>122</v>
      </c>
      <c r="L930" s="135">
        <v>461000625</v>
      </c>
      <c r="M930" s="151">
        <v>45649</v>
      </c>
      <c r="N930" s="152">
        <v>45649.020833333336</v>
      </c>
      <c r="O930" s="152">
        <v>45649.020833333336</v>
      </c>
      <c r="P930" s="152">
        <v>45649.024305555555</v>
      </c>
      <c r="Q930" s="152">
        <v>45649.1875</v>
      </c>
      <c r="R930" s="152" t="s">
        <v>118</v>
      </c>
      <c r="S930" s="152" t="s">
        <v>118</v>
      </c>
      <c r="T930" s="152">
        <v>45649.291666666664</v>
      </c>
      <c r="U930" s="152">
        <v>45649.40347222222</v>
      </c>
      <c r="V930" s="219">
        <f t="shared" si="558"/>
        <v>0.16666666666424135</v>
      </c>
      <c r="W930" s="203">
        <v>0.20833333333333334</v>
      </c>
      <c r="X930" s="219" t="str">
        <f t="shared" si="559"/>
        <v>00:00</v>
      </c>
      <c r="Y930" s="96">
        <v>0</v>
      </c>
      <c r="Z930" s="96">
        <v>59</v>
      </c>
      <c r="AA930" s="96">
        <f t="shared" si="551"/>
        <v>59</v>
      </c>
      <c r="AB930" s="97">
        <f t="shared" si="552"/>
        <v>0</v>
      </c>
      <c r="AC930" s="97">
        <f t="shared" si="553"/>
        <v>3990.55</v>
      </c>
      <c r="AD930" s="98">
        <v>3990.55</v>
      </c>
      <c r="AE930" s="98">
        <v>4089.4</v>
      </c>
      <c r="AF930" s="98">
        <v>4090.8</v>
      </c>
      <c r="AG930" s="98">
        <f t="shared" si="554"/>
        <v>100.25</v>
      </c>
      <c r="AH930" s="99">
        <v>672.5</v>
      </c>
      <c r="AI930" s="100">
        <f t="shared" si="555"/>
        <v>2751063</v>
      </c>
      <c r="AJ930" s="100">
        <f>(0*AH930)*2</f>
        <v>0</v>
      </c>
      <c r="AK930" s="100">
        <v>0</v>
      </c>
      <c r="AL930" s="100">
        <v>0</v>
      </c>
      <c r="AM930" s="100">
        <v>0</v>
      </c>
      <c r="AN930" s="100">
        <v>0</v>
      </c>
      <c r="AO930" s="100">
        <v>0</v>
      </c>
      <c r="AP930" s="100">
        <f t="shared" si="556"/>
        <v>137554</v>
      </c>
      <c r="AQ930" s="101">
        <f t="shared" si="557"/>
        <v>2888617</v>
      </c>
      <c r="AR930" s="101">
        <v>0</v>
      </c>
      <c r="AS930" s="101">
        <v>0</v>
      </c>
      <c r="AT930" s="102" t="s">
        <v>33</v>
      </c>
      <c r="AU930" s="109" t="s">
        <v>118</v>
      </c>
      <c r="AV930" s="100">
        <v>0</v>
      </c>
      <c r="AW930" s="105">
        <v>0</v>
      </c>
      <c r="AX930" s="216">
        <f t="shared" si="560"/>
        <v>2.4506209054463675</v>
      </c>
      <c r="AY930" s="217">
        <f t="shared" si="561"/>
        <v>67419</v>
      </c>
      <c r="AZ930" s="107"/>
      <c r="BA930" s="94">
        <v>45649.020833333336</v>
      </c>
      <c r="BB930" s="94">
        <v>45649.024305555555</v>
      </c>
      <c r="BC930" s="94">
        <v>45649.024305555555</v>
      </c>
      <c r="BD930" s="94">
        <v>45649.138888888891</v>
      </c>
      <c r="BE930" s="95">
        <f t="shared" si="562"/>
        <v>0.11805555555474712</v>
      </c>
      <c r="BF930" s="95">
        <v>0</v>
      </c>
      <c r="BG930" s="95">
        <v>0</v>
      </c>
      <c r="BH930" s="95">
        <f t="shared" si="563"/>
        <v>3.4722222189884633E-3</v>
      </c>
      <c r="BI930" s="95">
        <f t="shared" si="563"/>
        <v>0</v>
      </c>
      <c r="BJ930" s="95">
        <f t="shared" si="563"/>
        <v>0.11458333333575865</v>
      </c>
      <c r="BK930" s="95">
        <f t="shared" si="564"/>
        <v>0.11458333333575865</v>
      </c>
      <c r="BL930" s="95">
        <f t="shared" si="565"/>
        <v>0.11458333333575865</v>
      </c>
      <c r="BM930" s="95" t="str">
        <f t="shared" si="566"/>
        <v>00:00</v>
      </c>
      <c r="BN930" s="110"/>
    </row>
    <row r="931" spans="1:66" s="8" customFormat="1" ht="12.75" customHeight="1" x14ac:dyDescent="0.25">
      <c r="A931" s="150">
        <v>855</v>
      </c>
      <c r="B931" s="150">
        <v>81</v>
      </c>
      <c r="C931" s="90">
        <v>8</v>
      </c>
      <c r="D931" s="111" t="s">
        <v>113</v>
      </c>
      <c r="E931" s="210" t="s">
        <v>985</v>
      </c>
      <c r="F931" s="150" t="s">
        <v>27</v>
      </c>
      <c r="G931" s="150" t="s">
        <v>12</v>
      </c>
      <c r="H931" s="150" t="s">
        <v>115</v>
      </c>
      <c r="I931" s="150" t="s">
        <v>1028</v>
      </c>
      <c r="J931" s="151">
        <v>45649</v>
      </c>
      <c r="K931" s="135" t="s">
        <v>117</v>
      </c>
      <c r="L931" s="135">
        <v>282001090</v>
      </c>
      <c r="M931" s="151">
        <v>45650</v>
      </c>
      <c r="N931" s="152">
        <v>45649.333333333336</v>
      </c>
      <c r="O931" s="152">
        <v>45649.333333333336</v>
      </c>
      <c r="P931" s="152">
        <v>45649.340277777781</v>
      </c>
      <c r="Q931" s="152">
        <v>45649.541666666664</v>
      </c>
      <c r="R931" s="152" t="s">
        <v>118</v>
      </c>
      <c r="S931" s="152" t="s">
        <v>118</v>
      </c>
      <c r="T931" s="152">
        <v>45649.597222222219</v>
      </c>
      <c r="U931" s="152">
        <v>45649.669444444444</v>
      </c>
      <c r="V931" s="219">
        <f t="shared" si="558"/>
        <v>0.20833333332848269</v>
      </c>
      <c r="W931" s="203">
        <v>0.20833333333333334</v>
      </c>
      <c r="X931" s="219" t="str">
        <f t="shared" si="559"/>
        <v>00:00</v>
      </c>
      <c r="Y931" s="96">
        <v>0</v>
      </c>
      <c r="Z931" s="96">
        <v>58</v>
      </c>
      <c r="AA931" s="96">
        <f t="shared" si="551"/>
        <v>58</v>
      </c>
      <c r="AB931" s="97">
        <f t="shared" si="552"/>
        <v>0</v>
      </c>
      <c r="AC931" s="97">
        <f t="shared" si="553"/>
        <v>4026.5</v>
      </c>
      <c r="AD931" s="98">
        <v>4026.5</v>
      </c>
      <c r="AE931" s="98">
        <v>4033.4</v>
      </c>
      <c r="AF931" s="98">
        <v>4054.4</v>
      </c>
      <c r="AG931" s="98">
        <f t="shared" si="554"/>
        <v>27.900000000000091</v>
      </c>
      <c r="AH931" s="99">
        <v>1586.7</v>
      </c>
      <c r="AI931" s="100">
        <f t="shared" si="555"/>
        <v>6433116.4800000004</v>
      </c>
      <c r="AJ931" s="100">
        <f>(1.6*AH931)*2</f>
        <v>5077.4400000000005</v>
      </c>
      <c r="AK931" s="100">
        <v>0</v>
      </c>
      <c r="AL931" s="100">
        <v>0</v>
      </c>
      <c r="AM931" s="100">
        <v>0</v>
      </c>
      <c r="AN931" s="100">
        <v>0</v>
      </c>
      <c r="AO931" s="100">
        <f>IFERROR(AF931*20+(((AJ931/AH931)/2)*20),0)</f>
        <v>81120</v>
      </c>
      <c r="AP931" s="100">
        <f t="shared" si="556"/>
        <v>325966</v>
      </c>
      <c r="AQ931" s="101">
        <f t="shared" si="557"/>
        <v>6845280</v>
      </c>
      <c r="AR931" s="101">
        <v>0</v>
      </c>
      <c r="AS931" s="101">
        <v>0</v>
      </c>
      <c r="AT931" s="102" t="s">
        <v>33</v>
      </c>
      <c r="AU931" s="109" t="s">
        <v>118</v>
      </c>
      <c r="AV931" s="100">
        <v>0</v>
      </c>
      <c r="AW931" s="105">
        <v>0</v>
      </c>
      <c r="AX931" s="216">
        <f t="shared" si="560"/>
        <v>0.68814127861089414</v>
      </c>
      <c r="AY931" s="217">
        <f t="shared" si="561"/>
        <v>44269</v>
      </c>
      <c r="AZ931" s="107"/>
      <c r="BA931" s="94">
        <v>45649.333333333336</v>
      </c>
      <c r="BB931" s="94">
        <v>45649.340277777781</v>
      </c>
      <c r="BC931" s="94">
        <v>45649.340277777781</v>
      </c>
      <c r="BD931" s="94">
        <v>45649.496527777781</v>
      </c>
      <c r="BE931" s="95">
        <f t="shared" si="562"/>
        <v>0.16319444444525288</v>
      </c>
      <c r="BF931" s="95">
        <v>6.9444444444444441E-3</v>
      </c>
      <c r="BG931" s="95">
        <v>3.8194444444444448E-2</v>
      </c>
      <c r="BH931" s="95">
        <f t="shared" si="563"/>
        <v>6.9444444452528842E-3</v>
      </c>
      <c r="BI931" s="95">
        <f t="shared" si="563"/>
        <v>0</v>
      </c>
      <c r="BJ931" s="95">
        <f t="shared" si="563"/>
        <v>0.15625</v>
      </c>
      <c r="BK931" s="95">
        <f t="shared" si="564"/>
        <v>0.15625</v>
      </c>
      <c r="BL931" s="95">
        <f t="shared" si="565"/>
        <v>0.1111111111111111</v>
      </c>
      <c r="BM931" s="95" t="str">
        <f t="shared" si="566"/>
        <v>00:00</v>
      </c>
      <c r="BN931" s="110"/>
    </row>
    <row r="932" spans="1:66" s="8" customFormat="1" ht="12.75" customHeight="1" x14ac:dyDescent="0.25">
      <c r="A932" s="150">
        <v>856</v>
      </c>
      <c r="B932" s="150">
        <v>82</v>
      </c>
      <c r="C932" s="90">
        <v>7</v>
      </c>
      <c r="D932" s="111" t="s">
        <v>148</v>
      </c>
      <c r="E932" s="210" t="s">
        <v>1022</v>
      </c>
      <c r="F932" s="150" t="s">
        <v>16</v>
      </c>
      <c r="G932" s="150" t="s">
        <v>17</v>
      </c>
      <c r="H932" s="150" t="s">
        <v>150</v>
      </c>
      <c r="I932" s="150" t="s">
        <v>472</v>
      </c>
      <c r="J932" s="151">
        <v>45647</v>
      </c>
      <c r="K932" s="135" t="s">
        <v>122</v>
      </c>
      <c r="L932" s="135">
        <v>461000626</v>
      </c>
      <c r="M932" s="151">
        <v>45649</v>
      </c>
      <c r="N932" s="152">
        <v>45649.5</v>
      </c>
      <c r="O932" s="152">
        <v>45649.5</v>
      </c>
      <c r="P932" s="152">
        <v>45649.520833333336</v>
      </c>
      <c r="Q932" s="152">
        <v>45649.666666666664</v>
      </c>
      <c r="R932" s="152" t="s">
        <v>118</v>
      </c>
      <c r="S932" s="152" t="s">
        <v>118</v>
      </c>
      <c r="T932" s="152">
        <v>45649.708333333336</v>
      </c>
      <c r="U932" s="152">
        <v>45649.805555555555</v>
      </c>
      <c r="V932" s="219">
        <f t="shared" si="558"/>
        <v>0.16666666666424135</v>
      </c>
      <c r="W932" s="203">
        <v>0.20833333333333334</v>
      </c>
      <c r="X932" s="219" t="str">
        <f t="shared" si="559"/>
        <v>00:00</v>
      </c>
      <c r="Y932" s="96">
        <v>0</v>
      </c>
      <c r="Z932" s="96">
        <v>59</v>
      </c>
      <c r="AA932" s="96">
        <f t="shared" si="551"/>
        <v>59</v>
      </c>
      <c r="AB932" s="97">
        <f t="shared" si="552"/>
        <v>0</v>
      </c>
      <c r="AC932" s="97">
        <f t="shared" si="553"/>
        <v>4088.14</v>
      </c>
      <c r="AD932" s="98">
        <v>4088.14</v>
      </c>
      <c r="AE932" s="98">
        <v>4103</v>
      </c>
      <c r="AF932" s="98">
        <v>4119.3999999999996</v>
      </c>
      <c r="AG932" s="98">
        <f t="shared" si="554"/>
        <v>31.259999999999764</v>
      </c>
      <c r="AH932" s="99">
        <v>672.5</v>
      </c>
      <c r="AI932" s="100">
        <f t="shared" si="555"/>
        <v>2770296.4999999995</v>
      </c>
      <c r="AJ932" s="100">
        <f t="shared" ref="AJ932:AJ938" si="567">(0*AH932)*2</f>
        <v>0</v>
      </c>
      <c r="AK932" s="100">
        <v>0</v>
      </c>
      <c r="AL932" s="100">
        <v>24290</v>
      </c>
      <c r="AM932" s="100">
        <v>0</v>
      </c>
      <c r="AN932" s="100">
        <v>0</v>
      </c>
      <c r="AO932" s="100">
        <v>0</v>
      </c>
      <c r="AP932" s="100">
        <f t="shared" si="556"/>
        <v>139730</v>
      </c>
      <c r="AQ932" s="101">
        <f t="shared" si="557"/>
        <v>2934317</v>
      </c>
      <c r="AR932" s="101">
        <v>0</v>
      </c>
      <c r="AS932" s="101">
        <v>0</v>
      </c>
      <c r="AT932" s="102" t="s">
        <v>33</v>
      </c>
      <c r="AU932" s="109">
        <v>8</v>
      </c>
      <c r="AV932" s="100">
        <f>19.14-14.64</f>
        <v>4.5</v>
      </c>
      <c r="AW932" s="105">
        <v>0</v>
      </c>
      <c r="AX932" s="216">
        <f t="shared" si="560"/>
        <v>0.75884837597707833</v>
      </c>
      <c r="AY932" s="217">
        <f t="shared" si="561"/>
        <v>21023</v>
      </c>
      <c r="AZ932" s="107"/>
      <c r="BA932" s="94">
        <v>45649.5</v>
      </c>
      <c r="BB932" s="94">
        <v>45649.520833333336</v>
      </c>
      <c r="BC932" s="94">
        <v>45649.520833333336</v>
      </c>
      <c r="BD932" s="94">
        <v>45649.652777777781</v>
      </c>
      <c r="BE932" s="95">
        <f t="shared" si="562"/>
        <v>0.15277777778101154</v>
      </c>
      <c r="BF932" s="95">
        <v>0</v>
      </c>
      <c r="BG932" s="95">
        <v>0</v>
      </c>
      <c r="BH932" s="95">
        <f t="shared" si="563"/>
        <v>2.0833333335758653E-2</v>
      </c>
      <c r="BI932" s="95">
        <f t="shared" si="563"/>
        <v>0</v>
      </c>
      <c r="BJ932" s="95">
        <f t="shared" si="563"/>
        <v>0.13194444444525288</v>
      </c>
      <c r="BK932" s="95">
        <f t="shared" si="564"/>
        <v>0.13194444444525288</v>
      </c>
      <c r="BL932" s="95">
        <f t="shared" si="565"/>
        <v>0.13194444444525288</v>
      </c>
      <c r="BM932" s="95" t="str">
        <f t="shared" si="566"/>
        <v>00:00</v>
      </c>
      <c r="BN932" s="110"/>
    </row>
    <row r="933" spans="1:66" s="8" customFormat="1" ht="12.75" customHeight="1" x14ac:dyDescent="0.25">
      <c r="A933" s="150">
        <v>857</v>
      </c>
      <c r="B933" s="150">
        <v>83</v>
      </c>
      <c r="C933" s="90">
        <v>8</v>
      </c>
      <c r="D933" s="111" t="s">
        <v>148</v>
      </c>
      <c r="E933" s="210" t="s">
        <v>1022</v>
      </c>
      <c r="F933" s="150" t="s">
        <v>16</v>
      </c>
      <c r="G933" s="150" t="s">
        <v>17</v>
      </c>
      <c r="H933" s="150" t="s">
        <v>150</v>
      </c>
      <c r="I933" s="150" t="s">
        <v>458</v>
      </c>
      <c r="J933" s="151">
        <v>45647</v>
      </c>
      <c r="K933" s="135" t="s">
        <v>117</v>
      </c>
      <c r="L933" s="135">
        <v>461000627</v>
      </c>
      <c r="M933" s="151">
        <v>45650</v>
      </c>
      <c r="N933" s="152">
        <v>45649.708333333336</v>
      </c>
      <c r="O933" s="152">
        <v>45649.708333333336</v>
      </c>
      <c r="P933" s="152">
        <v>45649.711805555555</v>
      </c>
      <c r="Q933" s="152">
        <v>45649.864583333336</v>
      </c>
      <c r="R933" s="152" t="s">
        <v>118</v>
      </c>
      <c r="S933" s="152" t="s">
        <v>118</v>
      </c>
      <c r="T933" s="152">
        <v>45650.145833333336</v>
      </c>
      <c r="U933" s="152">
        <v>45650.256944444445</v>
      </c>
      <c r="V933" s="219">
        <f t="shared" si="558"/>
        <v>0.15625</v>
      </c>
      <c r="W933" s="203">
        <v>0.20833333333333334</v>
      </c>
      <c r="X933" s="219" t="str">
        <f t="shared" si="559"/>
        <v>00:00</v>
      </c>
      <c r="Y933" s="96">
        <v>0</v>
      </c>
      <c r="Z933" s="96">
        <v>59</v>
      </c>
      <c r="AA933" s="96">
        <f t="shared" si="551"/>
        <v>59</v>
      </c>
      <c r="AB933" s="97">
        <f t="shared" si="552"/>
        <v>0</v>
      </c>
      <c r="AC933" s="97">
        <f t="shared" si="553"/>
        <v>4092.13</v>
      </c>
      <c r="AD933" s="98">
        <f>4092.13</f>
        <v>4092.13</v>
      </c>
      <c r="AE933" s="98">
        <v>4086</v>
      </c>
      <c r="AF933" s="98">
        <v>4112.3999999999996</v>
      </c>
      <c r="AG933" s="98">
        <f t="shared" si="554"/>
        <v>20.269999999999527</v>
      </c>
      <c r="AH933" s="99">
        <v>672.5</v>
      </c>
      <c r="AI933" s="100">
        <f t="shared" si="555"/>
        <v>2765588.9999999995</v>
      </c>
      <c r="AJ933" s="100">
        <f t="shared" si="567"/>
        <v>0</v>
      </c>
      <c r="AK933" s="100">
        <v>0</v>
      </c>
      <c r="AL933" s="100">
        <v>24290</v>
      </c>
      <c r="AM933" s="100">
        <v>0</v>
      </c>
      <c r="AN933" s="100">
        <v>0</v>
      </c>
      <c r="AO933" s="100">
        <v>0</v>
      </c>
      <c r="AP933" s="100">
        <f t="shared" si="556"/>
        <v>139494</v>
      </c>
      <c r="AQ933" s="101">
        <f t="shared" si="557"/>
        <v>2929373</v>
      </c>
      <c r="AR933" s="101">
        <v>0</v>
      </c>
      <c r="AS933" s="101">
        <v>0</v>
      </c>
      <c r="AT933" s="102" t="s">
        <v>33</v>
      </c>
      <c r="AU933" s="109">
        <v>14</v>
      </c>
      <c r="AV933" s="100">
        <f>30.63-22.63</f>
        <v>8</v>
      </c>
      <c r="AW933" s="105">
        <v>0</v>
      </c>
      <c r="AX933" s="216">
        <f t="shared" si="560"/>
        <v>0.49289952339265458</v>
      </c>
      <c r="AY933" s="217">
        <f t="shared" si="561"/>
        <v>13632</v>
      </c>
      <c r="AZ933" s="107"/>
      <c r="BA933" s="94">
        <v>45649.708333333336</v>
      </c>
      <c r="BB933" s="94">
        <v>45649.711805555555</v>
      </c>
      <c r="BC933" s="94">
        <v>45649.711805555555</v>
      </c>
      <c r="BD933" s="94">
        <v>45649.829861111109</v>
      </c>
      <c r="BE933" s="95">
        <f t="shared" si="562"/>
        <v>0.12152777777373558</v>
      </c>
      <c r="BF933" s="95">
        <v>0</v>
      </c>
      <c r="BG933" s="95">
        <v>0</v>
      </c>
      <c r="BH933" s="95">
        <f t="shared" si="563"/>
        <v>3.4722222189884633E-3</v>
      </c>
      <c r="BI933" s="95">
        <f t="shared" si="563"/>
        <v>0</v>
      </c>
      <c r="BJ933" s="95">
        <f t="shared" si="563"/>
        <v>0.11805555555474712</v>
      </c>
      <c r="BK933" s="95">
        <f t="shared" si="564"/>
        <v>0.11805555555474712</v>
      </c>
      <c r="BL933" s="95">
        <f t="shared" si="565"/>
        <v>0.11805555555474712</v>
      </c>
      <c r="BM933" s="95" t="str">
        <f t="shared" si="566"/>
        <v>00:00</v>
      </c>
      <c r="BN933" s="110"/>
    </row>
    <row r="934" spans="1:66" s="8" customFormat="1" ht="12.75" customHeight="1" x14ac:dyDescent="0.25">
      <c r="A934" s="150">
        <v>858</v>
      </c>
      <c r="B934" s="150">
        <v>84</v>
      </c>
      <c r="C934" s="90">
        <v>9</v>
      </c>
      <c r="D934" s="111" t="s">
        <v>148</v>
      </c>
      <c r="E934" s="210" t="s">
        <v>1022</v>
      </c>
      <c r="F934" s="150" t="s">
        <v>16</v>
      </c>
      <c r="G934" s="150" t="s">
        <v>17</v>
      </c>
      <c r="H934" s="150" t="s">
        <v>150</v>
      </c>
      <c r="I934" s="150" t="s">
        <v>461</v>
      </c>
      <c r="J934" s="151">
        <v>45647</v>
      </c>
      <c r="K934" s="135" t="s">
        <v>122</v>
      </c>
      <c r="L934" s="135">
        <v>461000628</v>
      </c>
      <c r="M934" s="151">
        <v>45650</v>
      </c>
      <c r="N934" s="152">
        <v>45650.125</v>
      </c>
      <c r="O934" s="152">
        <v>45650.125</v>
      </c>
      <c r="P934" s="152">
        <v>45650.135416666664</v>
      </c>
      <c r="Q934" s="152">
        <v>45650.3125</v>
      </c>
      <c r="R934" s="152" t="s">
        <v>118</v>
      </c>
      <c r="S934" s="152" t="s">
        <v>118</v>
      </c>
      <c r="T934" s="152">
        <v>45650.340277777781</v>
      </c>
      <c r="U934" s="152">
        <v>45650.451388888891</v>
      </c>
      <c r="V934" s="219">
        <f t="shared" si="558"/>
        <v>0.1875</v>
      </c>
      <c r="W934" s="203">
        <v>0.20833333333333334</v>
      </c>
      <c r="X934" s="219" t="str">
        <f t="shared" si="559"/>
        <v>00:00</v>
      </c>
      <c r="Y934" s="96">
        <v>0</v>
      </c>
      <c r="Z934" s="96">
        <v>59</v>
      </c>
      <c r="AA934" s="96">
        <f t="shared" si="551"/>
        <v>59</v>
      </c>
      <c r="AB934" s="97">
        <f t="shared" si="552"/>
        <v>0</v>
      </c>
      <c r="AC934" s="97">
        <f t="shared" si="553"/>
        <v>4046.39</v>
      </c>
      <c r="AD934" s="98">
        <v>4046.39</v>
      </c>
      <c r="AE934" s="98">
        <v>4096</v>
      </c>
      <c r="AF934" s="98">
        <v>4103.2</v>
      </c>
      <c r="AG934" s="98">
        <f t="shared" si="554"/>
        <v>56.809999999999945</v>
      </c>
      <c r="AH934" s="99">
        <v>672.5</v>
      </c>
      <c r="AI934" s="100">
        <f t="shared" si="555"/>
        <v>2759402</v>
      </c>
      <c r="AJ934" s="100">
        <f t="shared" si="567"/>
        <v>0</v>
      </c>
      <c r="AK934" s="100">
        <v>0</v>
      </c>
      <c r="AL934" s="100">
        <v>24290</v>
      </c>
      <c r="AM934" s="100">
        <v>0</v>
      </c>
      <c r="AN934" s="100">
        <v>0</v>
      </c>
      <c r="AO934" s="100">
        <v>0</v>
      </c>
      <c r="AP934" s="100">
        <f t="shared" si="556"/>
        <v>139185</v>
      </c>
      <c r="AQ934" s="101">
        <f t="shared" si="557"/>
        <v>2922877</v>
      </c>
      <c r="AR934" s="101">
        <v>0</v>
      </c>
      <c r="AS934" s="101">
        <v>0</v>
      </c>
      <c r="AT934" s="102" t="s">
        <v>33</v>
      </c>
      <c r="AU934" s="109">
        <v>2</v>
      </c>
      <c r="AV934" s="100">
        <f>8.94-6.44</f>
        <v>2.4999999999999991</v>
      </c>
      <c r="AW934" s="105">
        <v>0</v>
      </c>
      <c r="AX934" s="216">
        <f t="shared" si="560"/>
        <v>1.3845291479820614</v>
      </c>
      <c r="AY934" s="217">
        <f t="shared" si="561"/>
        <v>38205</v>
      </c>
      <c r="AZ934" s="107"/>
      <c r="BA934" s="94">
        <v>45650.125</v>
      </c>
      <c r="BB934" s="94">
        <v>45650.135416666664</v>
      </c>
      <c r="BC934" s="94">
        <v>45650.135416666664</v>
      </c>
      <c r="BD934" s="94">
        <v>45650.256944444445</v>
      </c>
      <c r="BE934" s="95">
        <f t="shared" si="562"/>
        <v>0.13194444444525288</v>
      </c>
      <c r="BF934" s="95">
        <v>0</v>
      </c>
      <c r="BG934" s="95">
        <v>0</v>
      </c>
      <c r="BH934" s="95">
        <f t="shared" si="563"/>
        <v>1.0416666664241347E-2</v>
      </c>
      <c r="BI934" s="95">
        <f t="shared" si="563"/>
        <v>0</v>
      </c>
      <c r="BJ934" s="95">
        <f t="shared" si="563"/>
        <v>0.12152777778101154</v>
      </c>
      <c r="BK934" s="95">
        <f t="shared" si="564"/>
        <v>0.12152777778101154</v>
      </c>
      <c r="BL934" s="95">
        <f t="shared" si="565"/>
        <v>0.12152777778101154</v>
      </c>
      <c r="BM934" s="95" t="str">
        <f t="shared" si="566"/>
        <v>00:00</v>
      </c>
      <c r="BN934" s="110"/>
    </row>
    <row r="935" spans="1:66" s="8" customFormat="1" ht="12.75" customHeight="1" x14ac:dyDescent="0.25">
      <c r="A935" s="150">
        <v>859</v>
      </c>
      <c r="B935" s="150">
        <v>85</v>
      </c>
      <c r="C935" s="90">
        <v>10</v>
      </c>
      <c r="D935" s="111" t="s">
        <v>148</v>
      </c>
      <c r="E935" s="210" t="s">
        <v>1022</v>
      </c>
      <c r="F935" s="150" t="s">
        <v>16</v>
      </c>
      <c r="G935" s="150" t="s">
        <v>17</v>
      </c>
      <c r="H935" s="150" t="s">
        <v>150</v>
      </c>
      <c r="I935" s="150" t="s">
        <v>462</v>
      </c>
      <c r="J935" s="151">
        <v>45649</v>
      </c>
      <c r="K935" s="135" t="s">
        <v>117</v>
      </c>
      <c r="L935" s="135">
        <v>461000629</v>
      </c>
      <c r="M935" s="151">
        <v>45650</v>
      </c>
      <c r="N935" s="152">
        <v>45650.333333333336</v>
      </c>
      <c r="O935" s="152">
        <v>45650.333333333336</v>
      </c>
      <c r="P935" s="152">
        <v>45650.336805555555</v>
      </c>
      <c r="Q935" s="152">
        <v>45650.5</v>
      </c>
      <c r="R935" s="152" t="s">
        <v>118</v>
      </c>
      <c r="S935" s="152" t="s">
        <v>118</v>
      </c>
      <c r="T935" s="152">
        <v>45650.666666666664</v>
      </c>
      <c r="U935" s="152">
        <v>45650.836805555555</v>
      </c>
      <c r="V935" s="219">
        <f t="shared" si="558"/>
        <v>0.16666666666424135</v>
      </c>
      <c r="W935" s="203">
        <v>0.20833333333333334</v>
      </c>
      <c r="X935" s="219" t="str">
        <f t="shared" si="559"/>
        <v>00:00</v>
      </c>
      <c r="Y935" s="96">
        <v>0</v>
      </c>
      <c r="Z935" s="96">
        <v>58</v>
      </c>
      <c r="AA935" s="96">
        <f t="shared" si="551"/>
        <v>58</v>
      </c>
      <c r="AB935" s="97">
        <f t="shared" si="552"/>
        <v>0</v>
      </c>
      <c r="AC935" s="97">
        <f t="shared" si="553"/>
        <v>4062.61</v>
      </c>
      <c r="AD935" s="98">
        <v>4062.61</v>
      </c>
      <c r="AE935" s="98">
        <v>4041.8</v>
      </c>
      <c r="AF935" s="98">
        <v>4075.8</v>
      </c>
      <c r="AG935" s="98">
        <f t="shared" si="554"/>
        <v>13.190000000000055</v>
      </c>
      <c r="AH935" s="99">
        <v>672.5</v>
      </c>
      <c r="AI935" s="100">
        <f t="shared" si="555"/>
        <v>2740975.5</v>
      </c>
      <c r="AJ935" s="100">
        <f t="shared" si="567"/>
        <v>0</v>
      </c>
      <c r="AK935" s="100">
        <v>0</v>
      </c>
      <c r="AL935" s="100">
        <v>24140</v>
      </c>
      <c r="AM935" s="100">
        <v>0</v>
      </c>
      <c r="AN935" s="100">
        <v>0</v>
      </c>
      <c r="AO935" s="100">
        <v>0</v>
      </c>
      <c r="AP935" s="100">
        <f t="shared" si="556"/>
        <v>138256</v>
      </c>
      <c r="AQ935" s="101">
        <f t="shared" si="557"/>
        <v>2903372</v>
      </c>
      <c r="AR935" s="101">
        <v>0</v>
      </c>
      <c r="AS935" s="101">
        <v>0</v>
      </c>
      <c r="AT935" s="102" t="s">
        <v>33</v>
      </c>
      <c r="AU935" s="109">
        <v>20</v>
      </c>
      <c r="AV935" s="100">
        <f>44.41-29.41</f>
        <v>14.999999999999996</v>
      </c>
      <c r="AW935" s="105">
        <v>0</v>
      </c>
      <c r="AX935" s="216">
        <f t="shared" si="560"/>
        <v>0.32361744933510123</v>
      </c>
      <c r="AY935" s="217">
        <f t="shared" si="561"/>
        <v>8871</v>
      </c>
      <c r="AZ935" s="107"/>
      <c r="BA935" s="94">
        <v>45650.333333333336</v>
      </c>
      <c r="BB935" s="94">
        <v>45650.336805555555</v>
      </c>
      <c r="BC935" s="94">
        <v>45650.336805555555</v>
      </c>
      <c r="BD935" s="94">
        <v>45650.458333333336</v>
      </c>
      <c r="BE935" s="95">
        <f t="shared" si="562"/>
        <v>0.125</v>
      </c>
      <c r="BF935" s="95">
        <v>0</v>
      </c>
      <c r="BG935" s="95">
        <v>3.472222222222222E-3</v>
      </c>
      <c r="BH935" s="95">
        <f t="shared" si="563"/>
        <v>3.4722222189884633E-3</v>
      </c>
      <c r="BI935" s="95">
        <f t="shared" si="563"/>
        <v>0</v>
      </c>
      <c r="BJ935" s="95">
        <f t="shared" si="563"/>
        <v>0.12152777778101154</v>
      </c>
      <c r="BK935" s="95">
        <f t="shared" si="564"/>
        <v>0.12152777778101154</v>
      </c>
      <c r="BL935" s="95">
        <f t="shared" si="565"/>
        <v>0.11805555555878931</v>
      </c>
      <c r="BM935" s="95" t="str">
        <f t="shared" si="566"/>
        <v>00:00</v>
      </c>
      <c r="BN935" s="110"/>
    </row>
    <row r="936" spans="1:66" s="8" customFormat="1" ht="12.75" customHeight="1" x14ac:dyDescent="0.25">
      <c r="A936" s="150">
        <v>860</v>
      </c>
      <c r="B936" s="150">
        <v>86</v>
      </c>
      <c r="C936" s="90">
        <v>11</v>
      </c>
      <c r="D936" s="111" t="s">
        <v>148</v>
      </c>
      <c r="E936" s="210" t="s">
        <v>1022</v>
      </c>
      <c r="F936" s="150" t="s">
        <v>16</v>
      </c>
      <c r="G936" s="150" t="s">
        <v>17</v>
      </c>
      <c r="H936" s="150" t="s">
        <v>150</v>
      </c>
      <c r="I936" s="150" t="s">
        <v>464</v>
      </c>
      <c r="J936" s="151">
        <v>45649</v>
      </c>
      <c r="K936" s="135" t="s">
        <v>122</v>
      </c>
      <c r="L936" s="135">
        <v>461000630</v>
      </c>
      <c r="M936" s="151">
        <v>45651</v>
      </c>
      <c r="N936" s="152">
        <v>45650.6875</v>
      </c>
      <c r="O936" s="152">
        <v>45650.6875</v>
      </c>
      <c r="P936" s="152">
        <v>45650.694444444445</v>
      </c>
      <c r="Q936" s="152">
        <v>45650.875</v>
      </c>
      <c r="R936" s="152" t="s">
        <v>118</v>
      </c>
      <c r="S936" s="152" t="s">
        <v>118</v>
      </c>
      <c r="T936" s="152">
        <v>45650.979166666664</v>
      </c>
      <c r="U936" s="152">
        <v>45651.145833333336</v>
      </c>
      <c r="V936" s="219">
        <f t="shared" si="558"/>
        <v>0.1875</v>
      </c>
      <c r="W936" s="203">
        <v>0.20833333333333334</v>
      </c>
      <c r="X936" s="219" t="str">
        <f t="shared" si="559"/>
        <v>00:00</v>
      </c>
      <c r="Y936" s="96">
        <v>0</v>
      </c>
      <c r="Z936" s="96">
        <v>58</v>
      </c>
      <c r="AA936" s="96">
        <f t="shared" si="551"/>
        <v>58</v>
      </c>
      <c r="AB936" s="97">
        <f t="shared" si="552"/>
        <v>0</v>
      </c>
      <c r="AC936" s="97">
        <f t="shared" si="553"/>
        <v>4054.7</v>
      </c>
      <c r="AD936" s="98">
        <v>4054.7</v>
      </c>
      <c r="AE936" s="98">
        <v>4060</v>
      </c>
      <c r="AF936" s="98">
        <v>4081.4</v>
      </c>
      <c r="AG936" s="98">
        <f t="shared" si="554"/>
        <v>26.700000000000273</v>
      </c>
      <c r="AH936" s="99">
        <v>672.5</v>
      </c>
      <c r="AI936" s="100">
        <f t="shared" si="555"/>
        <v>2744741.5</v>
      </c>
      <c r="AJ936" s="100">
        <f t="shared" si="567"/>
        <v>0</v>
      </c>
      <c r="AK936" s="100">
        <v>0</v>
      </c>
      <c r="AL936" s="100">
        <v>24140</v>
      </c>
      <c r="AM936" s="100">
        <v>0</v>
      </c>
      <c r="AN936" s="100">
        <v>0</v>
      </c>
      <c r="AO936" s="100">
        <v>0</v>
      </c>
      <c r="AP936" s="100">
        <f t="shared" si="556"/>
        <v>138445</v>
      </c>
      <c r="AQ936" s="101">
        <f t="shared" si="557"/>
        <v>2907327</v>
      </c>
      <c r="AR936" s="101">
        <v>0</v>
      </c>
      <c r="AS936" s="101">
        <v>0</v>
      </c>
      <c r="AT936" s="102" t="s">
        <v>33</v>
      </c>
      <c r="AU936" s="109">
        <v>11</v>
      </c>
      <c r="AV936" s="100">
        <f>25.4-18.9</f>
        <v>6.5</v>
      </c>
      <c r="AW936" s="105">
        <v>0</v>
      </c>
      <c r="AX936" s="216">
        <f t="shared" si="560"/>
        <v>0.65418728867546116</v>
      </c>
      <c r="AY936" s="217">
        <f t="shared" si="561"/>
        <v>17956</v>
      </c>
      <c r="AZ936" s="107"/>
      <c r="BA936" s="94">
        <v>45650.6875</v>
      </c>
      <c r="BB936" s="94">
        <v>45650.694444444445</v>
      </c>
      <c r="BC936" s="94">
        <v>45650.694444444445</v>
      </c>
      <c r="BD936" s="94">
        <v>45650.819444444445</v>
      </c>
      <c r="BE936" s="95">
        <f t="shared" si="562"/>
        <v>0.13194444444525288</v>
      </c>
      <c r="BF936" s="95">
        <v>0</v>
      </c>
      <c r="BG936" s="95">
        <v>0</v>
      </c>
      <c r="BH936" s="95">
        <f t="shared" si="563"/>
        <v>6.9444444452528842E-3</v>
      </c>
      <c r="BI936" s="95">
        <f t="shared" si="563"/>
        <v>0</v>
      </c>
      <c r="BJ936" s="95">
        <f t="shared" si="563"/>
        <v>0.125</v>
      </c>
      <c r="BK936" s="95">
        <f t="shared" si="564"/>
        <v>0.125</v>
      </c>
      <c r="BL936" s="95">
        <f t="shared" si="565"/>
        <v>0.125</v>
      </c>
      <c r="BM936" s="95" t="str">
        <f t="shared" si="566"/>
        <v>00:00</v>
      </c>
      <c r="BN936" s="110"/>
    </row>
    <row r="937" spans="1:66" s="8" customFormat="1" ht="12.75" customHeight="1" x14ac:dyDescent="0.25">
      <c r="A937" s="150">
        <v>861</v>
      </c>
      <c r="B937" s="150">
        <v>87</v>
      </c>
      <c r="C937" s="90">
        <v>12</v>
      </c>
      <c r="D937" s="111" t="s">
        <v>148</v>
      </c>
      <c r="E937" s="210" t="s">
        <v>1022</v>
      </c>
      <c r="F937" s="150" t="s">
        <v>16</v>
      </c>
      <c r="G937" s="150" t="s">
        <v>17</v>
      </c>
      <c r="H937" s="150" t="s">
        <v>150</v>
      </c>
      <c r="I937" s="150" t="s">
        <v>465</v>
      </c>
      <c r="J937" s="151">
        <v>45649</v>
      </c>
      <c r="K937" s="135" t="s">
        <v>117</v>
      </c>
      <c r="L937" s="135">
        <v>461000631</v>
      </c>
      <c r="M937" s="151">
        <v>45651</v>
      </c>
      <c r="N937" s="152">
        <v>45650.875</v>
      </c>
      <c r="O937" s="152">
        <v>45650.875</v>
      </c>
      <c r="P937" s="152">
        <v>45650.881944444445</v>
      </c>
      <c r="Q937" s="152">
        <v>45651.03125</v>
      </c>
      <c r="R937" s="152" t="s">
        <v>118</v>
      </c>
      <c r="S937" s="152" t="s">
        <v>118</v>
      </c>
      <c r="T937" s="152">
        <v>45651.197916666664</v>
      </c>
      <c r="U937" s="152">
        <v>45651.357638888891</v>
      </c>
      <c r="V937" s="219">
        <f t="shared" si="558"/>
        <v>0.15625</v>
      </c>
      <c r="W937" s="203">
        <v>0.20833333333333334</v>
      </c>
      <c r="X937" s="219" t="str">
        <f t="shared" si="559"/>
        <v>00:00</v>
      </c>
      <c r="Y937" s="96">
        <v>0</v>
      </c>
      <c r="Z937" s="96">
        <v>58</v>
      </c>
      <c r="AA937" s="96">
        <f t="shared" si="551"/>
        <v>58</v>
      </c>
      <c r="AB937" s="97">
        <f t="shared" si="552"/>
        <v>0</v>
      </c>
      <c r="AC937" s="97">
        <f t="shared" si="553"/>
        <v>4047.6500000000005</v>
      </c>
      <c r="AD937" s="98">
        <v>4047.65</v>
      </c>
      <c r="AE937" s="98">
        <v>4042.3</v>
      </c>
      <c r="AF937" s="98">
        <v>4068.2</v>
      </c>
      <c r="AG937" s="98">
        <f t="shared" si="554"/>
        <v>20.549999999999727</v>
      </c>
      <c r="AH937" s="99">
        <v>672.5</v>
      </c>
      <c r="AI937" s="100">
        <f t="shared" si="555"/>
        <v>2735864.5</v>
      </c>
      <c r="AJ937" s="100">
        <f t="shared" si="567"/>
        <v>0</v>
      </c>
      <c r="AK937" s="100">
        <v>0</v>
      </c>
      <c r="AL937" s="100">
        <v>24140</v>
      </c>
      <c r="AM937" s="100">
        <v>0</v>
      </c>
      <c r="AN937" s="100">
        <v>0</v>
      </c>
      <c r="AO937" s="100">
        <v>0</v>
      </c>
      <c r="AP937" s="100">
        <f t="shared" si="556"/>
        <v>138001</v>
      </c>
      <c r="AQ937" s="101">
        <f t="shared" si="557"/>
        <v>2898006</v>
      </c>
      <c r="AR937" s="101">
        <v>0</v>
      </c>
      <c r="AS937" s="101">
        <v>0</v>
      </c>
      <c r="AT937" s="102" t="s">
        <v>33</v>
      </c>
      <c r="AU937" s="109">
        <v>14</v>
      </c>
      <c r="AV937" s="100">
        <f>34.35-22.85</f>
        <v>11.5</v>
      </c>
      <c r="AW937" s="105">
        <v>0</v>
      </c>
      <c r="AX937" s="216">
        <f t="shared" si="560"/>
        <v>0.50513740720711187</v>
      </c>
      <c r="AY937" s="217">
        <f t="shared" si="561"/>
        <v>13820</v>
      </c>
      <c r="AZ937" s="107"/>
      <c r="BA937" s="94">
        <v>45650.875</v>
      </c>
      <c r="BB937" s="94">
        <v>45650.881944444445</v>
      </c>
      <c r="BC937" s="94">
        <v>45650.881944444445</v>
      </c>
      <c r="BD937" s="94">
        <v>45651.003472222219</v>
      </c>
      <c r="BE937" s="95">
        <f t="shared" si="562"/>
        <v>0.12847222221898846</v>
      </c>
      <c r="BF937" s="95">
        <v>0</v>
      </c>
      <c r="BG937" s="95">
        <v>0</v>
      </c>
      <c r="BH937" s="95">
        <f t="shared" si="563"/>
        <v>6.9444444452528842E-3</v>
      </c>
      <c r="BI937" s="95">
        <f t="shared" si="563"/>
        <v>0</v>
      </c>
      <c r="BJ937" s="95">
        <f t="shared" si="563"/>
        <v>0.12152777777373558</v>
      </c>
      <c r="BK937" s="95">
        <f t="shared" si="564"/>
        <v>0.12152777777373558</v>
      </c>
      <c r="BL937" s="95">
        <f t="shared" si="565"/>
        <v>0.12152777777373558</v>
      </c>
      <c r="BM937" s="95" t="str">
        <f t="shared" si="566"/>
        <v>00:00</v>
      </c>
      <c r="BN937" s="110"/>
    </row>
    <row r="938" spans="1:66" s="8" customFormat="1" ht="12.75" customHeight="1" x14ac:dyDescent="0.25">
      <c r="A938" s="150">
        <v>862</v>
      </c>
      <c r="B938" s="150">
        <v>88</v>
      </c>
      <c r="C938" s="90">
        <v>13</v>
      </c>
      <c r="D938" s="111" t="s">
        <v>148</v>
      </c>
      <c r="E938" s="210" t="s">
        <v>1022</v>
      </c>
      <c r="F938" s="150" t="s">
        <v>16</v>
      </c>
      <c r="G938" s="150" t="s">
        <v>17</v>
      </c>
      <c r="H938" s="150" t="s">
        <v>150</v>
      </c>
      <c r="I938" s="150" t="s">
        <v>466</v>
      </c>
      <c r="J938" s="151">
        <v>45649</v>
      </c>
      <c r="K938" s="135" t="s">
        <v>122</v>
      </c>
      <c r="L938" s="135">
        <v>461000632</v>
      </c>
      <c r="M938" s="151">
        <v>45651</v>
      </c>
      <c r="N938" s="152">
        <v>45651.319444444445</v>
      </c>
      <c r="O938" s="152">
        <v>45651.291666666664</v>
      </c>
      <c r="P938" s="152">
        <v>45651.326388888891</v>
      </c>
      <c r="Q938" s="152">
        <v>45651.489583333336</v>
      </c>
      <c r="R938" s="152">
        <v>45651.319444444445</v>
      </c>
      <c r="S938" s="152" t="s">
        <v>118</v>
      </c>
      <c r="T938" s="152">
        <v>45651.541666666664</v>
      </c>
      <c r="U938" s="152">
        <v>45651.645833333336</v>
      </c>
      <c r="V938" s="219">
        <f t="shared" si="558"/>
        <v>0.19791666667151731</v>
      </c>
      <c r="W938" s="203">
        <v>0.20833333333333334</v>
      </c>
      <c r="X938" s="219" t="str">
        <f t="shared" si="559"/>
        <v>00:00</v>
      </c>
      <c r="Y938" s="96">
        <v>0</v>
      </c>
      <c r="Z938" s="96">
        <v>58</v>
      </c>
      <c r="AA938" s="96">
        <f t="shared" si="551"/>
        <v>58</v>
      </c>
      <c r="AB938" s="97">
        <f t="shared" si="552"/>
        <v>0</v>
      </c>
      <c r="AC938" s="97">
        <f t="shared" si="553"/>
        <v>4024.0599999999995</v>
      </c>
      <c r="AD938" s="98">
        <v>4024.06</v>
      </c>
      <c r="AE938" s="98">
        <v>4032.6</v>
      </c>
      <c r="AF938" s="98">
        <v>4053.8</v>
      </c>
      <c r="AG938" s="98">
        <f t="shared" si="554"/>
        <v>29.740000000000236</v>
      </c>
      <c r="AH938" s="99">
        <v>672.5</v>
      </c>
      <c r="AI938" s="100">
        <f t="shared" si="555"/>
        <v>2726180.5</v>
      </c>
      <c r="AJ938" s="100">
        <f t="shared" si="567"/>
        <v>0</v>
      </c>
      <c r="AK938" s="100">
        <v>0</v>
      </c>
      <c r="AL938" s="100">
        <v>24140</v>
      </c>
      <c r="AM938" s="100">
        <v>0</v>
      </c>
      <c r="AN938" s="100">
        <v>0</v>
      </c>
      <c r="AO938" s="100">
        <v>0</v>
      </c>
      <c r="AP938" s="100">
        <f t="shared" si="556"/>
        <v>137517</v>
      </c>
      <c r="AQ938" s="101">
        <f t="shared" si="557"/>
        <v>2887838</v>
      </c>
      <c r="AR938" s="101">
        <v>0</v>
      </c>
      <c r="AS938" s="101">
        <v>0</v>
      </c>
      <c r="AT938" s="102" t="s">
        <v>33</v>
      </c>
      <c r="AU938" s="109">
        <v>10</v>
      </c>
      <c r="AV938" s="100">
        <f>24.83-18.83</f>
        <v>6</v>
      </c>
      <c r="AW938" s="105">
        <v>0</v>
      </c>
      <c r="AX938" s="216">
        <f t="shared" si="560"/>
        <v>0.7336326409788404</v>
      </c>
      <c r="AY938" s="217">
        <f t="shared" si="561"/>
        <v>20001</v>
      </c>
      <c r="AZ938" s="107"/>
      <c r="BA938" s="94">
        <v>45651.319444444445</v>
      </c>
      <c r="BB938" s="94">
        <v>45651.326388888891</v>
      </c>
      <c r="BC938" s="94">
        <v>45651.326388888891</v>
      </c>
      <c r="BD938" s="94">
        <v>45651.46875</v>
      </c>
      <c r="BE938" s="95">
        <f t="shared" si="562"/>
        <v>0.14930555555474712</v>
      </c>
      <c r="BF938" s="95">
        <v>8.3333333333333332E-3</v>
      </c>
      <c r="BG938" s="95">
        <v>0</v>
      </c>
      <c r="BH938" s="95">
        <f t="shared" si="563"/>
        <v>6.9444444452528842E-3</v>
      </c>
      <c r="BI938" s="95">
        <f t="shared" si="563"/>
        <v>0</v>
      </c>
      <c r="BJ938" s="95">
        <f t="shared" si="563"/>
        <v>0.14236111110949423</v>
      </c>
      <c r="BK938" s="95">
        <f t="shared" si="564"/>
        <v>0.14236111110949423</v>
      </c>
      <c r="BL938" s="95">
        <f t="shared" si="565"/>
        <v>0.1340277777761609</v>
      </c>
      <c r="BM938" s="95" t="str">
        <f t="shared" si="566"/>
        <v>00:00</v>
      </c>
      <c r="BN938" s="110"/>
    </row>
    <row r="939" spans="1:66" s="8" customFormat="1" ht="12.75" customHeight="1" x14ac:dyDescent="0.25">
      <c r="A939" s="150">
        <v>863</v>
      </c>
      <c r="B939" s="150">
        <v>89</v>
      </c>
      <c r="C939" s="90">
        <v>7</v>
      </c>
      <c r="D939" s="111" t="s">
        <v>113</v>
      </c>
      <c r="E939" s="210" t="s">
        <v>996</v>
      </c>
      <c r="F939" s="150" t="s">
        <v>29</v>
      </c>
      <c r="G939" s="150" t="s">
        <v>15</v>
      </c>
      <c r="H939" s="150" t="s">
        <v>124</v>
      </c>
      <c r="I939" s="150" t="s">
        <v>1029</v>
      </c>
      <c r="J939" s="151">
        <v>45651</v>
      </c>
      <c r="K939" s="135" t="s">
        <v>117</v>
      </c>
      <c r="L939" s="135">
        <v>461000633</v>
      </c>
      <c r="M939" s="151">
        <v>45651</v>
      </c>
      <c r="N939" s="152">
        <v>45651.510416666664</v>
      </c>
      <c r="O939" s="152">
        <v>45651.510416666664</v>
      </c>
      <c r="P939" s="152">
        <v>45651.520833333336</v>
      </c>
      <c r="Q939" s="152">
        <v>45651.708333333336</v>
      </c>
      <c r="R939" s="152" t="s">
        <v>118</v>
      </c>
      <c r="S939" s="152" t="s">
        <v>118</v>
      </c>
      <c r="T939" s="152">
        <v>45651.760416666664</v>
      </c>
      <c r="U939" s="152">
        <v>45651.820833333331</v>
      </c>
      <c r="V939" s="219">
        <f t="shared" si="558"/>
        <v>0.19791666667151731</v>
      </c>
      <c r="W939" s="203">
        <v>0.20833333333333334</v>
      </c>
      <c r="X939" s="219" t="str">
        <f t="shared" si="559"/>
        <v>00:00</v>
      </c>
      <c r="Y939" s="96">
        <v>0</v>
      </c>
      <c r="Z939" s="96">
        <v>59</v>
      </c>
      <c r="AA939" s="96">
        <f t="shared" si="551"/>
        <v>59</v>
      </c>
      <c r="AB939" s="97">
        <f t="shared" si="552"/>
        <v>0</v>
      </c>
      <c r="AC939" s="97">
        <f t="shared" si="553"/>
        <v>4052.71</v>
      </c>
      <c r="AD939" s="98">
        <v>4052.71</v>
      </c>
      <c r="AE939" s="98">
        <v>4101</v>
      </c>
      <c r="AF939" s="98">
        <v>4112.8</v>
      </c>
      <c r="AG939" s="98">
        <f t="shared" si="554"/>
        <v>60.090000000000146</v>
      </c>
      <c r="AH939" s="99">
        <v>797.2</v>
      </c>
      <c r="AI939" s="100">
        <f t="shared" si="555"/>
        <v>3278724.16</v>
      </c>
      <c r="AJ939" s="100">
        <f>(1.2*AH939)*2</f>
        <v>1913.28</v>
      </c>
      <c r="AK939" s="100">
        <v>0</v>
      </c>
      <c r="AL939" s="100">
        <v>0</v>
      </c>
      <c r="AM939" s="100">
        <v>0</v>
      </c>
      <c r="AN939" s="100">
        <v>0</v>
      </c>
      <c r="AO939" s="100">
        <v>0</v>
      </c>
      <c r="AP939" s="100">
        <f t="shared" si="556"/>
        <v>164032</v>
      </c>
      <c r="AQ939" s="101">
        <f t="shared" si="557"/>
        <v>3444670</v>
      </c>
      <c r="AR939" s="101">
        <v>0</v>
      </c>
      <c r="AS939" s="101">
        <v>0</v>
      </c>
      <c r="AT939" s="102" t="s">
        <v>33</v>
      </c>
      <c r="AU939" s="109" t="s">
        <v>118</v>
      </c>
      <c r="AV939" s="100">
        <v>0</v>
      </c>
      <c r="AW939" s="105">
        <v>0</v>
      </c>
      <c r="AX939" s="216">
        <f t="shared" si="560"/>
        <v>1.4610484341567822</v>
      </c>
      <c r="AY939" s="217">
        <f t="shared" si="561"/>
        <v>47904</v>
      </c>
      <c r="AZ939" s="107"/>
      <c r="BA939" s="94">
        <v>45651.510416666664</v>
      </c>
      <c r="BB939" s="94">
        <v>45651.520833333336</v>
      </c>
      <c r="BC939" s="94">
        <v>45651.520833333336</v>
      </c>
      <c r="BD939" s="94">
        <v>45651.711805555555</v>
      </c>
      <c r="BE939" s="95">
        <f t="shared" si="562"/>
        <v>0.20138888889050577</v>
      </c>
      <c r="BF939" s="95">
        <v>6.2500000000000003E-3</v>
      </c>
      <c r="BG939" s="95">
        <v>5.9027777777777776E-2</v>
      </c>
      <c r="BH939" s="95">
        <f t="shared" si="563"/>
        <v>1.0416666671517305E-2</v>
      </c>
      <c r="BI939" s="95">
        <f t="shared" si="563"/>
        <v>0</v>
      </c>
      <c r="BJ939" s="95">
        <f t="shared" si="563"/>
        <v>0.19097222221898846</v>
      </c>
      <c r="BK939" s="95">
        <f t="shared" si="564"/>
        <v>0.19097222221898846</v>
      </c>
      <c r="BL939" s="95">
        <f t="shared" si="565"/>
        <v>0.1256944444412107</v>
      </c>
      <c r="BM939" s="95" t="str">
        <f t="shared" si="566"/>
        <v>00:00</v>
      </c>
      <c r="BN939" s="110"/>
    </row>
    <row r="940" spans="1:66" s="8" customFormat="1" ht="12.75" customHeight="1" x14ac:dyDescent="0.25">
      <c r="A940" s="150">
        <v>864</v>
      </c>
      <c r="B940" s="150">
        <v>90</v>
      </c>
      <c r="C940" s="90">
        <v>14</v>
      </c>
      <c r="D940" s="111" t="s">
        <v>148</v>
      </c>
      <c r="E940" s="210" t="s">
        <v>1022</v>
      </c>
      <c r="F940" s="150" t="s">
        <v>16</v>
      </c>
      <c r="G940" s="150" t="s">
        <v>17</v>
      </c>
      <c r="H940" s="150" t="s">
        <v>150</v>
      </c>
      <c r="I940" s="150" t="s">
        <v>473</v>
      </c>
      <c r="J940" s="151">
        <v>45650</v>
      </c>
      <c r="K940" s="135" t="s">
        <v>122</v>
      </c>
      <c r="L940" s="135">
        <v>461000634</v>
      </c>
      <c r="M940" s="151">
        <v>45652</v>
      </c>
      <c r="N940" s="152">
        <v>45651.6875</v>
      </c>
      <c r="O940" s="152">
        <v>45651.6875</v>
      </c>
      <c r="P940" s="152">
        <v>45651.690972222219</v>
      </c>
      <c r="Q940" s="152">
        <v>45651.885416666664</v>
      </c>
      <c r="R940" s="152" t="s">
        <v>118</v>
      </c>
      <c r="S940" s="152" t="s">
        <v>118</v>
      </c>
      <c r="T940" s="152">
        <v>45651.916666666664</v>
      </c>
      <c r="U940" s="152">
        <v>45652.097222222219</v>
      </c>
      <c r="V940" s="219">
        <f t="shared" si="558"/>
        <v>0.19791666666424135</v>
      </c>
      <c r="W940" s="203">
        <v>0.20833333333333334</v>
      </c>
      <c r="X940" s="219" t="str">
        <f t="shared" si="559"/>
        <v>00:00</v>
      </c>
      <c r="Y940" s="96">
        <v>0</v>
      </c>
      <c r="Z940" s="96">
        <v>59</v>
      </c>
      <c r="AA940" s="96">
        <f t="shared" si="551"/>
        <v>59</v>
      </c>
      <c r="AB940" s="97">
        <f t="shared" si="552"/>
        <v>0</v>
      </c>
      <c r="AC940" s="97">
        <f t="shared" si="553"/>
        <v>4086.54</v>
      </c>
      <c r="AD940" s="98">
        <v>4086.54</v>
      </c>
      <c r="AE940" s="98">
        <v>4110.7</v>
      </c>
      <c r="AF940" s="98">
        <v>4128.3999999999996</v>
      </c>
      <c r="AG940" s="98">
        <f t="shared" si="554"/>
        <v>41.859999999999673</v>
      </c>
      <c r="AH940" s="99">
        <v>672.5</v>
      </c>
      <c r="AI940" s="100">
        <f t="shared" si="555"/>
        <v>2776348.9999999995</v>
      </c>
      <c r="AJ940" s="100">
        <f t="shared" ref="AJ940:AJ947" si="568">(0*AH940)*2</f>
        <v>0</v>
      </c>
      <c r="AK940" s="100">
        <v>0</v>
      </c>
      <c r="AL940" s="100">
        <v>24290</v>
      </c>
      <c r="AM940" s="100">
        <v>0</v>
      </c>
      <c r="AN940" s="100">
        <v>0</v>
      </c>
      <c r="AO940" s="100">
        <v>0</v>
      </c>
      <c r="AP940" s="100">
        <f t="shared" si="556"/>
        <v>140032</v>
      </c>
      <c r="AQ940" s="101">
        <f t="shared" si="557"/>
        <v>2940671</v>
      </c>
      <c r="AR940" s="101">
        <v>0</v>
      </c>
      <c r="AS940" s="101">
        <v>0</v>
      </c>
      <c r="AT940" s="102" t="s">
        <v>33</v>
      </c>
      <c r="AU940" s="109">
        <v>9</v>
      </c>
      <c r="AV940" s="100">
        <f>20.3-14.8</f>
        <v>5.5</v>
      </c>
      <c r="AW940" s="105">
        <v>0</v>
      </c>
      <c r="AX940" s="216">
        <f t="shared" si="560"/>
        <v>1.0139521364208817</v>
      </c>
      <c r="AY940" s="217">
        <f t="shared" si="561"/>
        <v>28151</v>
      </c>
      <c r="AZ940" s="107"/>
      <c r="BA940" s="94">
        <v>45651.6875</v>
      </c>
      <c r="BB940" s="94">
        <v>45651.690972222219</v>
      </c>
      <c r="BC940" s="94">
        <v>45651.720138888886</v>
      </c>
      <c r="BD940" s="94">
        <v>45651.854166666664</v>
      </c>
      <c r="BE940" s="95">
        <f t="shared" si="562"/>
        <v>0.16666666666424135</v>
      </c>
      <c r="BF940" s="95">
        <v>0</v>
      </c>
      <c r="BG940" s="95">
        <v>3.1944444444444442E-2</v>
      </c>
      <c r="BH940" s="95">
        <f t="shared" si="563"/>
        <v>3.4722222189884633E-3</v>
      </c>
      <c r="BI940" s="95">
        <f t="shared" si="563"/>
        <v>2.9166666667151731E-2</v>
      </c>
      <c r="BJ940" s="95">
        <f t="shared" si="563"/>
        <v>0.13402777777810115</v>
      </c>
      <c r="BK940" s="95">
        <f t="shared" si="564"/>
        <v>0.16319444444525288</v>
      </c>
      <c r="BL940" s="95">
        <f t="shared" si="565"/>
        <v>0.13125000000080844</v>
      </c>
      <c r="BM940" s="95" t="str">
        <f t="shared" si="566"/>
        <v>00:00</v>
      </c>
      <c r="BN940" s="110"/>
    </row>
    <row r="941" spans="1:66" s="8" customFormat="1" ht="12.75" customHeight="1" x14ac:dyDescent="0.25">
      <c r="A941" s="150">
        <v>865</v>
      </c>
      <c r="B941" s="150">
        <v>91</v>
      </c>
      <c r="C941" s="90">
        <v>9</v>
      </c>
      <c r="D941" s="111" t="s">
        <v>113</v>
      </c>
      <c r="E941" s="210" t="s">
        <v>991</v>
      </c>
      <c r="F941" s="150" t="s">
        <v>27</v>
      </c>
      <c r="G941" s="150" t="s">
        <v>12</v>
      </c>
      <c r="H941" s="150" t="s">
        <v>115</v>
      </c>
      <c r="I941" s="150" t="s">
        <v>1030</v>
      </c>
      <c r="J941" s="151">
        <v>45651</v>
      </c>
      <c r="K941" s="135" t="s">
        <v>117</v>
      </c>
      <c r="L941" s="135">
        <v>282001091</v>
      </c>
      <c r="M941" s="151">
        <v>45652</v>
      </c>
      <c r="N941" s="152">
        <v>45651.875</v>
      </c>
      <c r="O941" s="152">
        <v>45651.875</v>
      </c>
      <c r="P941" s="152">
        <v>45651.881944444445</v>
      </c>
      <c r="Q941" s="152">
        <v>45652.052083333336</v>
      </c>
      <c r="R941" s="152" t="s">
        <v>118</v>
      </c>
      <c r="S941" s="152" t="s">
        <v>118</v>
      </c>
      <c r="T941" s="152">
        <v>45652.0625</v>
      </c>
      <c r="U941" s="152">
        <v>45652.219444444447</v>
      </c>
      <c r="V941" s="219">
        <f t="shared" si="558"/>
        <v>0.17708333333575865</v>
      </c>
      <c r="W941" s="203">
        <v>0.20833333333333334</v>
      </c>
      <c r="X941" s="219" t="str">
        <f t="shared" si="559"/>
        <v>00:00</v>
      </c>
      <c r="Y941" s="96">
        <v>1</v>
      </c>
      <c r="Z941" s="96">
        <v>57</v>
      </c>
      <c r="AA941" s="96">
        <f t="shared" si="551"/>
        <v>58</v>
      </c>
      <c r="AB941" s="97">
        <f t="shared" si="552"/>
        <v>68.18086206896551</v>
      </c>
      <c r="AC941" s="97">
        <f t="shared" si="553"/>
        <v>3886.309137931034</v>
      </c>
      <c r="AD941" s="98">
        <v>3954.49</v>
      </c>
      <c r="AE941" s="98">
        <v>4019.5</v>
      </c>
      <c r="AF941" s="98">
        <v>4028.6</v>
      </c>
      <c r="AG941" s="98">
        <f t="shared" si="554"/>
        <v>74.110000000000127</v>
      </c>
      <c r="AH941" s="99">
        <v>1586.7</v>
      </c>
      <c r="AI941" s="100">
        <f t="shared" si="555"/>
        <v>6392179.6200000001</v>
      </c>
      <c r="AJ941" s="100">
        <f t="shared" si="568"/>
        <v>0</v>
      </c>
      <c r="AK941" s="100">
        <v>0</v>
      </c>
      <c r="AL941" s="100">
        <v>24140</v>
      </c>
      <c r="AM941" s="100">
        <v>0</v>
      </c>
      <c r="AN941" s="100">
        <v>0</v>
      </c>
      <c r="AO941" s="100">
        <f>IFERROR(AF941*20+(((AJ941/AH941)/2)*20),0)</f>
        <v>80572</v>
      </c>
      <c r="AP941" s="100">
        <f t="shared" si="556"/>
        <v>324845</v>
      </c>
      <c r="AQ941" s="101">
        <f t="shared" si="557"/>
        <v>6821737</v>
      </c>
      <c r="AR941" s="101">
        <v>0</v>
      </c>
      <c r="AS941" s="101">
        <v>0</v>
      </c>
      <c r="AT941" s="102" t="s">
        <v>33</v>
      </c>
      <c r="AU941" s="109">
        <v>3</v>
      </c>
      <c r="AV941" s="100">
        <f>10.74-8.24</f>
        <v>2.5</v>
      </c>
      <c r="AW941" s="105">
        <v>0</v>
      </c>
      <c r="AX941" s="216">
        <f t="shared" si="560"/>
        <v>1.8395968822916182</v>
      </c>
      <c r="AY941" s="217">
        <f t="shared" si="561"/>
        <v>117591</v>
      </c>
      <c r="AZ941" s="107"/>
      <c r="BA941" s="94">
        <v>45651.875</v>
      </c>
      <c r="BB941" s="94">
        <v>45651.881944444445</v>
      </c>
      <c r="BC941" s="94">
        <v>45651.899305555555</v>
      </c>
      <c r="BD941" s="94">
        <v>45652.036805555559</v>
      </c>
      <c r="BE941" s="95">
        <f t="shared" si="562"/>
        <v>0.16180555555911269</v>
      </c>
      <c r="BF941" s="95">
        <v>4.8611111111111112E-3</v>
      </c>
      <c r="BG941" s="95">
        <v>1.2500000000000001E-2</v>
      </c>
      <c r="BH941" s="95">
        <f t="shared" si="563"/>
        <v>6.9444444452528842E-3</v>
      </c>
      <c r="BI941" s="95">
        <f t="shared" si="563"/>
        <v>1.7361111109494232E-2</v>
      </c>
      <c r="BJ941" s="95">
        <f t="shared" si="563"/>
        <v>0.13750000000436557</v>
      </c>
      <c r="BK941" s="95">
        <f t="shared" si="564"/>
        <v>0.15486111111385981</v>
      </c>
      <c r="BL941" s="95">
        <f t="shared" si="565"/>
        <v>0.13750000000274867</v>
      </c>
      <c r="BM941" s="95" t="str">
        <f t="shared" si="566"/>
        <v>00:00</v>
      </c>
      <c r="BN941" s="110"/>
    </row>
    <row r="942" spans="1:66" s="8" customFormat="1" ht="12.75" customHeight="1" x14ac:dyDescent="0.25">
      <c r="A942" s="150">
        <v>866</v>
      </c>
      <c r="B942" s="150">
        <v>92</v>
      </c>
      <c r="C942" s="90">
        <v>15</v>
      </c>
      <c r="D942" s="111" t="s">
        <v>148</v>
      </c>
      <c r="E942" s="210" t="s">
        <v>1022</v>
      </c>
      <c r="F942" s="150" t="s">
        <v>16</v>
      </c>
      <c r="G942" s="150" t="s">
        <v>17</v>
      </c>
      <c r="H942" s="150" t="s">
        <v>150</v>
      </c>
      <c r="I942" s="150" t="s">
        <v>475</v>
      </c>
      <c r="J942" s="151">
        <v>45651</v>
      </c>
      <c r="K942" s="135" t="s">
        <v>122</v>
      </c>
      <c r="L942" s="135">
        <v>461000635</v>
      </c>
      <c r="M942" s="151">
        <v>45652</v>
      </c>
      <c r="N942" s="152">
        <v>45652.197916666664</v>
      </c>
      <c r="O942" s="152">
        <v>45652.197916666664</v>
      </c>
      <c r="P942" s="152">
        <v>45652.208333333336</v>
      </c>
      <c r="Q942" s="152">
        <v>45652.385416666664</v>
      </c>
      <c r="R942" s="152" t="s">
        <v>118</v>
      </c>
      <c r="S942" s="152" t="s">
        <v>118</v>
      </c>
      <c r="T942" s="152">
        <v>45652.416666666664</v>
      </c>
      <c r="U942" s="152">
        <v>45652.506944444445</v>
      </c>
      <c r="V942" s="219">
        <f t="shared" si="558"/>
        <v>0.1875</v>
      </c>
      <c r="W942" s="203">
        <v>0.20833333333333334</v>
      </c>
      <c r="X942" s="219" t="str">
        <f t="shared" si="559"/>
        <v>00:00</v>
      </c>
      <c r="Y942" s="96">
        <v>0</v>
      </c>
      <c r="Z942" s="96">
        <v>58</v>
      </c>
      <c r="AA942" s="96">
        <f t="shared" si="551"/>
        <v>58</v>
      </c>
      <c r="AB942" s="97">
        <f t="shared" si="552"/>
        <v>0</v>
      </c>
      <c r="AC942" s="97">
        <f t="shared" si="553"/>
        <v>4034.03</v>
      </c>
      <c r="AD942" s="98">
        <v>4034.03</v>
      </c>
      <c r="AE942" s="98">
        <v>4051.5</v>
      </c>
      <c r="AF942" s="98">
        <v>4067.8</v>
      </c>
      <c r="AG942" s="98">
        <f t="shared" si="554"/>
        <v>33.769999999999982</v>
      </c>
      <c r="AH942" s="99">
        <v>672.5</v>
      </c>
      <c r="AI942" s="100">
        <f t="shared" si="555"/>
        <v>2735595.5</v>
      </c>
      <c r="AJ942" s="100">
        <f t="shared" si="568"/>
        <v>0</v>
      </c>
      <c r="AK942" s="100">
        <v>0</v>
      </c>
      <c r="AL942" s="100">
        <v>24140</v>
      </c>
      <c r="AM942" s="100">
        <v>0</v>
      </c>
      <c r="AN942" s="100">
        <v>0</v>
      </c>
      <c r="AO942" s="100">
        <v>0</v>
      </c>
      <c r="AP942" s="100">
        <f t="shared" si="556"/>
        <v>137987</v>
      </c>
      <c r="AQ942" s="101">
        <f t="shared" si="557"/>
        <v>2897723</v>
      </c>
      <c r="AR942" s="101">
        <v>0</v>
      </c>
      <c r="AS942" s="101">
        <v>0</v>
      </c>
      <c r="AT942" s="102" t="s">
        <v>33</v>
      </c>
      <c r="AU942" s="109">
        <v>5</v>
      </c>
      <c r="AV942" s="100">
        <f>18.69-15.19</f>
        <v>3.5000000000000018</v>
      </c>
      <c r="AW942" s="105">
        <v>0</v>
      </c>
      <c r="AX942" s="216">
        <f t="shared" si="560"/>
        <v>0.8301784748512705</v>
      </c>
      <c r="AY942" s="217">
        <f t="shared" si="561"/>
        <v>22711</v>
      </c>
      <c r="AZ942" s="107"/>
      <c r="BA942" s="94">
        <v>45652.197916666664</v>
      </c>
      <c r="BB942" s="94">
        <v>45652.208333333336</v>
      </c>
      <c r="BC942" s="94">
        <v>45652.208333333336</v>
      </c>
      <c r="BD942" s="94">
        <v>45652.347222222219</v>
      </c>
      <c r="BE942" s="95">
        <f t="shared" si="562"/>
        <v>0.14930555555474712</v>
      </c>
      <c r="BF942" s="95">
        <v>2.7777777777777779E-3</v>
      </c>
      <c r="BG942" s="95">
        <v>3.472222222222222E-3</v>
      </c>
      <c r="BH942" s="95">
        <f t="shared" si="563"/>
        <v>1.0416666671517305E-2</v>
      </c>
      <c r="BI942" s="95">
        <f t="shared" si="563"/>
        <v>0</v>
      </c>
      <c r="BJ942" s="95">
        <f t="shared" si="563"/>
        <v>0.13888888888322981</v>
      </c>
      <c r="BK942" s="95">
        <f t="shared" si="564"/>
        <v>0.13888888888322981</v>
      </c>
      <c r="BL942" s="95">
        <f t="shared" si="565"/>
        <v>0.13263888888322983</v>
      </c>
      <c r="BM942" s="95" t="str">
        <f t="shared" si="566"/>
        <v>00:00</v>
      </c>
      <c r="BN942" s="110"/>
    </row>
    <row r="943" spans="1:66" s="8" customFormat="1" ht="12.75" customHeight="1" x14ac:dyDescent="0.25">
      <c r="A943" s="150">
        <v>867</v>
      </c>
      <c r="B943" s="150">
        <v>93</v>
      </c>
      <c r="C943" s="90">
        <v>16</v>
      </c>
      <c r="D943" s="111" t="s">
        <v>148</v>
      </c>
      <c r="E943" s="210" t="s">
        <v>1022</v>
      </c>
      <c r="F943" s="150" t="s">
        <v>16</v>
      </c>
      <c r="G943" s="150" t="s">
        <v>17</v>
      </c>
      <c r="H943" s="150" t="s">
        <v>150</v>
      </c>
      <c r="I943" s="150" t="s">
        <v>477</v>
      </c>
      <c r="J943" s="151">
        <v>45651</v>
      </c>
      <c r="K943" s="135" t="s">
        <v>122</v>
      </c>
      <c r="L943" s="135">
        <v>461000636</v>
      </c>
      <c r="M943" s="151">
        <v>45652</v>
      </c>
      <c r="N943" s="152">
        <v>45652.583333333336</v>
      </c>
      <c r="O943" s="152">
        <v>45652.583333333336</v>
      </c>
      <c r="P943" s="152">
        <v>45652.59375</v>
      </c>
      <c r="Q943" s="152">
        <v>45652.791666666664</v>
      </c>
      <c r="R943" s="152" t="s">
        <v>118</v>
      </c>
      <c r="S943" s="152" t="s">
        <v>118</v>
      </c>
      <c r="T943" s="152">
        <v>45652.8125</v>
      </c>
      <c r="U943" s="152">
        <v>45652.975694444445</v>
      </c>
      <c r="V943" s="219">
        <f t="shared" si="558"/>
        <v>0.20833333332848269</v>
      </c>
      <c r="W943" s="203">
        <v>0.20833333333333334</v>
      </c>
      <c r="X943" s="219" t="str">
        <f t="shared" si="559"/>
        <v>00:00</v>
      </c>
      <c r="Y943" s="96">
        <v>6</v>
      </c>
      <c r="Z943" s="96">
        <v>52</v>
      </c>
      <c r="AA943" s="96">
        <f t="shared" si="551"/>
        <v>58</v>
      </c>
      <c r="AB943" s="97">
        <f t="shared" si="552"/>
        <v>414.44068965517249</v>
      </c>
      <c r="AC943" s="97">
        <f t="shared" si="553"/>
        <v>3591.819310344828</v>
      </c>
      <c r="AD943" s="98">
        <v>4006.26</v>
      </c>
      <c r="AE943" s="98">
        <v>4021.4</v>
      </c>
      <c r="AF943" s="98">
        <v>4039.8</v>
      </c>
      <c r="AG943" s="98">
        <f t="shared" si="554"/>
        <v>33.539999999999964</v>
      </c>
      <c r="AH943" s="99">
        <v>672.5</v>
      </c>
      <c r="AI943" s="100">
        <f t="shared" si="555"/>
        <v>2716765.5</v>
      </c>
      <c r="AJ943" s="100">
        <f t="shared" si="568"/>
        <v>0</v>
      </c>
      <c r="AK943" s="100">
        <v>0</v>
      </c>
      <c r="AL943" s="100">
        <v>24140</v>
      </c>
      <c r="AM943" s="100">
        <v>0</v>
      </c>
      <c r="AN943" s="100">
        <v>0</v>
      </c>
      <c r="AO943" s="100">
        <v>0</v>
      </c>
      <c r="AP943" s="100">
        <f t="shared" si="556"/>
        <v>137046</v>
      </c>
      <c r="AQ943" s="101">
        <f t="shared" si="557"/>
        <v>2877952</v>
      </c>
      <c r="AR943" s="101">
        <v>0</v>
      </c>
      <c r="AS943" s="101">
        <v>0</v>
      </c>
      <c r="AT943" s="102" t="s">
        <v>33</v>
      </c>
      <c r="AU943" s="109">
        <v>11</v>
      </c>
      <c r="AV943" s="100">
        <f>21.29-15.29</f>
        <v>6</v>
      </c>
      <c r="AW943" s="105">
        <v>0</v>
      </c>
      <c r="AX943" s="216">
        <f t="shared" si="560"/>
        <v>0.83023912074855089</v>
      </c>
      <c r="AY943" s="217">
        <f t="shared" si="561"/>
        <v>22556</v>
      </c>
      <c r="AZ943" s="107"/>
      <c r="BA943" s="94">
        <v>45652.583333333336</v>
      </c>
      <c r="BB943" s="94">
        <v>45652.59375</v>
      </c>
      <c r="BC943" s="94">
        <v>45652.59375</v>
      </c>
      <c r="BD943" s="94">
        <v>45652.758333333331</v>
      </c>
      <c r="BE943" s="95">
        <f t="shared" si="562"/>
        <v>0.17499999999563443</v>
      </c>
      <c r="BF943" s="95">
        <v>1.2500000000000001E-2</v>
      </c>
      <c r="BG943" s="95">
        <v>9.0277777777777769E-3</v>
      </c>
      <c r="BH943" s="95">
        <f t="shared" si="563"/>
        <v>1.0416666664241347E-2</v>
      </c>
      <c r="BI943" s="95">
        <f t="shared" si="563"/>
        <v>0</v>
      </c>
      <c r="BJ943" s="95">
        <f t="shared" si="563"/>
        <v>0.16458333333139308</v>
      </c>
      <c r="BK943" s="95">
        <f t="shared" si="564"/>
        <v>0.16458333333139308</v>
      </c>
      <c r="BL943" s="95">
        <f t="shared" si="565"/>
        <v>0.14305555555361529</v>
      </c>
      <c r="BM943" s="95" t="str">
        <f t="shared" si="566"/>
        <v>00:00</v>
      </c>
      <c r="BN943" s="110"/>
    </row>
    <row r="944" spans="1:66" s="8" customFormat="1" ht="12.75" customHeight="1" x14ac:dyDescent="0.25">
      <c r="A944" s="150">
        <v>868</v>
      </c>
      <c r="B944" s="150">
        <v>94</v>
      </c>
      <c r="C944" s="90">
        <v>17</v>
      </c>
      <c r="D944" s="111" t="s">
        <v>148</v>
      </c>
      <c r="E944" s="210" t="s">
        <v>1022</v>
      </c>
      <c r="F944" s="150" t="s">
        <v>16</v>
      </c>
      <c r="G944" s="150" t="s">
        <v>17</v>
      </c>
      <c r="H944" s="150" t="s">
        <v>150</v>
      </c>
      <c r="I944" s="150" t="s">
        <v>478</v>
      </c>
      <c r="J944" s="151">
        <v>45653</v>
      </c>
      <c r="K944" s="135" t="s">
        <v>122</v>
      </c>
      <c r="L944" s="135">
        <v>461000637</v>
      </c>
      <c r="M944" s="151">
        <v>45654</v>
      </c>
      <c r="N944" s="152">
        <v>45653.71875</v>
      </c>
      <c r="O944" s="152">
        <v>45653.71875</v>
      </c>
      <c r="P944" s="152">
        <v>45653.729166666664</v>
      </c>
      <c r="Q944" s="152">
        <v>45653.927083333336</v>
      </c>
      <c r="R944" s="152" t="s">
        <v>118</v>
      </c>
      <c r="S944" s="152" t="s">
        <v>118</v>
      </c>
      <c r="T944" s="152">
        <v>45653.979166666664</v>
      </c>
      <c r="U944" s="152">
        <v>45654.135416666664</v>
      </c>
      <c r="V944" s="219">
        <f t="shared" si="558"/>
        <v>0.20833333333575865</v>
      </c>
      <c r="W944" s="203">
        <v>0.20833333333333334</v>
      </c>
      <c r="X944" s="219">
        <f t="shared" si="559"/>
        <v>2.4253099528692701E-12</v>
      </c>
      <c r="Y944" s="96">
        <v>1</v>
      </c>
      <c r="Z944" s="96">
        <v>57</v>
      </c>
      <c r="AA944" s="96">
        <f t="shared" si="551"/>
        <v>58</v>
      </c>
      <c r="AB944" s="97">
        <f t="shared" si="552"/>
        <v>68.968965517241372</v>
      </c>
      <c r="AC944" s="97">
        <f t="shared" si="553"/>
        <v>3931.2310344827583</v>
      </c>
      <c r="AD944" s="98">
        <v>4000.2</v>
      </c>
      <c r="AE944" s="98">
        <v>4021.4</v>
      </c>
      <c r="AF944" s="98">
        <v>4034</v>
      </c>
      <c r="AG944" s="98">
        <f t="shared" si="554"/>
        <v>33.800000000000182</v>
      </c>
      <c r="AH944" s="99">
        <v>672.5</v>
      </c>
      <c r="AI944" s="100">
        <f t="shared" si="555"/>
        <v>2712865</v>
      </c>
      <c r="AJ944" s="100">
        <f t="shared" si="568"/>
        <v>0</v>
      </c>
      <c r="AK944" s="100">
        <v>0</v>
      </c>
      <c r="AL944" s="100">
        <v>24140</v>
      </c>
      <c r="AM944" s="100">
        <v>0</v>
      </c>
      <c r="AN944" s="100">
        <v>0</v>
      </c>
      <c r="AO944" s="100">
        <v>0</v>
      </c>
      <c r="AP944" s="100">
        <f t="shared" si="556"/>
        <v>136851</v>
      </c>
      <c r="AQ944" s="101">
        <f t="shared" si="557"/>
        <v>2873856</v>
      </c>
      <c r="AR944" s="101">
        <v>0</v>
      </c>
      <c r="AS944" s="101">
        <v>0</v>
      </c>
      <c r="AT944" s="102" t="s">
        <v>33</v>
      </c>
      <c r="AU944" s="109">
        <v>9</v>
      </c>
      <c r="AV944" s="100">
        <v>6</v>
      </c>
      <c r="AW944" s="105">
        <v>0</v>
      </c>
      <c r="AX944" s="216">
        <f t="shared" si="560"/>
        <v>0.83787803668815519</v>
      </c>
      <c r="AY944" s="217">
        <f t="shared" si="561"/>
        <v>22731</v>
      </c>
      <c r="AZ944" s="107"/>
      <c r="BA944" s="94">
        <v>45653.71875</v>
      </c>
      <c r="BB944" s="94">
        <v>45653.729166666664</v>
      </c>
      <c r="BC944" s="94">
        <v>45653.729166666664</v>
      </c>
      <c r="BD944" s="94">
        <v>45653.882638888892</v>
      </c>
      <c r="BE944" s="95">
        <f t="shared" si="562"/>
        <v>0.16388888889196096</v>
      </c>
      <c r="BF944" s="95">
        <v>3.4027777777777775E-2</v>
      </c>
      <c r="BG944" s="95">
        <v>0</v>
      </c>
      <c r="BH944" s="95">
        <f t="shared" si="563"/>
        <v>1.0416666664241347E-2</v>
      </c>
      <c r="BI944" s="95">
        <f t="shared" si="563"/>
        <v>0</v>
      </c>
      <c r="BJ944" s="95">
        <f t="shared" si="563"/>
        <v>0.15347222222771961</v>
      </c>
      <c r="BK944" s="95">
        <f t="shared" si="564"/>
        <v>0.15347222222771961</v>
      </c>
      <c r="BL944" s="95">
        <f t="shared" si="565"/>
        <v>0.11944444444994184</v>
      </c>
      <c r="BM944" s="95" t="str">
        <f t="shared" si="566"/>
        <v>00:00</v>
      </c>
      <c r="BN944" s="110"/>
    </row>
    <row r="945" spans="1:66" s="8" customFormat="1" ht="12.75" customHeight="1" x14ac:dyDescent="0.25">
      <c r="A945" s="115">
        <v>869</v>
      </c>
      <c r="B945" s="115">
        <v>95</v>
      </c>
      <c r="C945" s="90">
        <v>11</v>
      </c>
      <c r="D945" s="115" t="s">
        <v>113</v>
      </c>
      <c r="E945" s="210" t="s">
        <v>956</v>
      </c>
      <c r="F945" s="150" t="s">
        <v>41</v>
      </c>
      <c r="G945" s="150" t="s">
        <v>12</v>
      </c>
      <c r="H945" s="115" t="s">
        <v>115</v>
      </c>
      <c r="I945" s="150" t="s">
        <v>1031</v>
      </c>
      <c r="J945" s="151">
        <v>45653</v>
      </c>
      <c r="K945" s="116" t="s">
        <v>117</v>
      </c>
      <c r="L945" s="135">
        <v>282001092</v>
      </c>
      <c r="M945" s="151">
        <v>45655</v>
      </c>
      <c r="N945" s="118">
        <v>45654.458333333336</v>
      </c>
      <c r="O945" s="118">
        <v>45654.458333333336</v>
      </c>
      <c r="P945" s="118">
        <v>45654.482638888891</v>
      </c>
      <c r="Q945" s="118">
        <v>45654.666666666664</v>
      </c>
      <c r="R945" s="118" t="s">
        <v>118</v>
      </c>
      <c r="S945" s="118" t="s">
        <v>118</v>
      </c>
      <c r="T945" s="118">
        <v>45654.708333333336</v>
      </c>
      <c r="U945" s="118">
        <v>45654.822916666664</v>
      </c>
      <c r="V945" s="119">
        <f t="shared" si="558"/>
        <v>0.20833333332848269</v>
      </c>
      <c r="W945" s="185">
        <v>0.20833333333333334</v>
      </c>
      <c r="X945" s="119" t="str">
        <f t="shared" si="559"/>
        <v>00:00</v>
      </c>
      <c r="Y945" s="96">
        <v>0</v>
      </c>
      <c r="Z945" s="96">
        <v>40</v>
      </c>
      <c r="AA945" s="96">
        <f t="shared" si="551"/>
        <v>40</v>
      </c>
      <c r="AB945" s="97">
        <f t="shared" si="552"/>
        <v>0</v>
      </c>
      <c r="AC945" s="97">
        <f t="shared" si="553"/>
        <v>2751.91</v>
      </c>
      <c r="AD945" s="98">
        <f>3990.93-1239.02</f>
        <v>2751.91</v>
      </c>
      <c r="AE945" s="98">
        <v>2785.7</v>
      </c>
      <c r="AF945" s="98">
        <v>2794.8</v>
      </c>
      <c r="AG945" s="98">
        <f t="shared" si="554"/>
        <v>42.890000000000327</v>
      </c>
      <c r="AH945" s="99">
        <v>1586.7</v>
      </c>
      <c r="AI945" s="100">
        <f t="shared" si="555"/>
        <v>4434509.16</v>
      </c>
      <c r="AJ945" s="100">
        <f t="shared" si="568"/>
        <v>0</v>
      </c>
      <c r="AK945" s="100">
        <v>0</v>
      </c>
      <c r="AL945" s="100">
        <v>24140</v>
      </c>
      <c r="AM945" s="100">
        <v>0</v>
      </c>
      <c r="AN945" s="100">
        <v>0</v>
      </c>
      <c r="AO945" s="100">
        <f>IFERROR(AF945*20+(((AJ945/AH945)/2)*20),0)</f>
        <v>55896</v>
      </c>
      <c r="AP945" s="100">
        <f t="shared" si="556"/>
        <v>225728</v>
      </c>
      <c r="AQ945" s="101">
        <f t="shared" si="557"/>
        <v>4740274</v>
      </c>
      <c r="AR945" s="101">
        <v>0</v>
      </c>
      <c r="AS945" s="101">
        <v>0</v>
      </c>
      <c r="AT945" s="137" t="s">
        <v>33</v>
      </c>
      <c r="AU945" s="120">
        <v>7</v>
      </c>
      <c r="AV945" s="121">
        <f>17.4-11.9</f>
        <v>5.4999999999999982</v>
      </c>
      <c r="AW945" s="105">
        <v>0</v>
      </c>
      <c r="AX945" s="140">
        <f>IFERROR(((AG945+AG946)/(AF945+AF946))*100, "")</f>
        <v>1.3123145400593568</v>
      </c>
      <c r="AY945" s="141">
        <f>ROUNDUP((AG945+AG946)*AH945,0)</f>
        <v>84207</v>
      </c>
      <c r="AZ945" s="107"/>
      <c r="BA945" s="118">
        <v>45654.458333333336</v>
      </c>
      <c r="BB945" s="118">
        <v>45654.482638888891</v>
      </c>
      <c r="BC945" s="118">
        <v>45654.494444444441</v>
      </c>
      <c r="BD945" s="118">
        <v>45654.665277777778</v>
      </c>
      <c r="BE945" s="119">
        <f t="shared" si="562"/>
        <v>0.2069444444423425</v>
      </c>
      <c r="BF945" s="119">
        <v>2.2222222222222223E-2</v>
      </c>
      <c r="BG945" s="119">
        <v>1.8055555555555554E-2</v>
      </c>
      <c r="BH945" s="119">
        <f t="shared" si="563"/>
        <v>2.4305555554747116E-2</v>
      </c>
      <c r="BI945" s="119">
        <f t="shared" si="563"/>
        <v>1.1805555550381541E-2</v>
      </c>
      <c r="BJ945" s="119">
        <f t="shared" si="563"/>
        <v>0.17083333333721384</v>
      </c>
      <c r="BK945" s="119">
        <f t="shared" si="564"/>
        <v>0.18263888888759539</v>
      </c>
      <c r="BL945" s="119">
        <f t="shared" si="565"/>
        <v>0.14236111110981761</v>
      </c>
      <c r="BM945" s="119" t="str">
        <f t="shared" si="566"/>
        <v>00:00</v>
      </c>
      <c r="BN945" s="110"/>
    </row>
    <row r="946" spans="1:66" s="8" customFormat="1" ht="12.75" customHeight="1" x14ac:dyDescent="0.25">
      <c r="A946" s="122"/>
      <c r="B946" s="122"/>
      <c r="C946" s="90">
        <v>10</v>
      </c>
      <c r="D946" s="122"/>
      <c r="E946" s="210" t="s">
        <v>991</v>
      </c>
      <c r="F946" s="150" t="s">
        <v>27</v>
      </c>
      <c r="G946" s="150" t="s">
        <v>12</v>
      </c>
      <c r="H946" s="122"/>
      <c r="I946" s="150" t="s">
        <v>1032</v>
      </c>
      <c r="J946" s="151">
        <v>45653</v>
      </c>
      <c r="K946" s="123"/>
      <c r="L946" s="135">
        <v>282001093</v>
      </c>
      <c r="M946" s="151">
        <v>45655</v>
      </c>
      <c r="N946" s="125"/>
      <c r="O946" s="125"/>
      <c r="P946" s="125"/>
      <c r="Q946" s="125"/>
      <c r="R946" s="125"/>
      <c r="S946" s="125"/>
      <c r="T946" s="125"/>
      <c r="U946" s="125"/>
      <c r="V946" s="126"/>
      <c r="W946" s="189"/>
      <c r="X946" s="126"/>
      <c r="Y946" s="96">
        <v>0</v>
      </c>
      <c r="Z946" s="96">
        <v>18</v>
      </c>
      <c r="AA946" s="96">
        <f t="shared" si="551"/>
        <v>18</v>
      </c>
      <c r="AB946" s="97">
        <f t="shared" si="552"/>
        <v>0</v>
      </c>
      <c r="AC946" s="97">
        <f t="shared" si="553"/>
        <v>1239.02</v>
      </c>
      <c r="AD946" s="98">
        <v>1239.02</v>
      </c>
      <c r="AE946" s="98">
        <v>1245</v>
      </c>
      <c r="AF946" s="98">
        <v>1249.2</v>
      </c>
      <c r="AG946" s="98">
        <f t="shared" si="554"/>
        <v>10.180000000000064</v>
      </c>
      <c r="AH946" s="99">
        <v>1586.7</v>
      </c>
      <c r="AI946" s="100">
        <f t="shared" si="555"/>
        <v>1982105.6400000001</v>
      </c>
      <c r="AJ946" s="100">
        <f t="shared" si="568"/>
        <v>0</v>
      </c>
      <c r="AK946" s="100">
        <v>0</v>
      </c>
      <c r="AL946" s="100">
        <v>0</v>
      </c>
      <c r="AM946" s="100">
        <v>0</v>
      </c>
      <c r="AN946" s="100">
        <v>0</v>
      </c>
      <c r="AO946" s="100">
        <f>IFERROR(AF946*20+(((AJ946/AH946)/2)*20),0)</f>
        <v>24984</v>
      </c>
      <c r="AP946" s="100">
        <f t="shared" si="556"/>
        <v>100355</v>
      </c>
      <c r="AQ946" s="101">
        <f t="shared" si="557"/>
        <v>2107445</v>
      </c>
      <c r="AR946" s="101">
        <v>0</v>
      </c>
      <c r="AS946" s="101">
        <v>0</v>
      </c>
      <c r="AT946" s="138"/>
      <c r="AU946" s="127"/>
      <c r="AV946" s="128"/>
      <c r="AW946" s="105">
        <v>0</v>
      </c>
      <c r="AX946" s="144"/>
      <c r="AY946" s="145"/>
      <c r="AZ946" s="107"/>
      <c r="BA946" s="125"/>
      <c r="BB946" s="125"/>
      <c r="BC946" s="125"/>
      <c r="BD946" s="125"/>
      <c r="BE946" s="126"/>
      <c r="BF946" s="126"/>
      <c r="BG946" s="126"/>
      <c r="BH946" s="126"/>
      <c r="BI946" s="126"/>
      <c r="BJ946" s="126"/>
      <c r="BK946" s="126"/>
      <c r="BL946" s="126"/>
      <c r="BM946" s="126"/>
      <c r="BN946" s="110"/>
    </row>
    <row r="947" spans="1:66" s="8" customFormat="1" ht="12.75" customHeight="1" x14ac:dyDescent="0.25">
      <c r="A947" s="150">
        <v>870</v>
      </c>
      <c r="B947" s="150">
        <v>96</v>
      </c>
      <c r="C947" s="90">
        <v>18</v>
      </c>
      <c r="D947" s="111" t="s">
        <v>148</v>
      </c>
      <c r="E947" s="210" t="s">
        <v>1022</v>
      </c>
      <c r="F947" s="150" t="s">
        <v>16</v>
      </c>
      <c r="G947" s="150" t="s">
        <v>17</v>
      </c>
      <c r="H947" s="150" t="s">
        <v>150</v>
      </c>
      <c r="I947" s="150" t="s">
        <v>480</v>
      </c>
      <c r="J947" s="151">
        <v>45654</v>
      </c>
      <c r="K947" s="135" t="s">
        <v>122</v>
      </c>
      <c r="L947" s="135">
        <v>461000638</v>
      </c>
      <c r="M947" s="151">
        <v>45655</v>
      </c>
      <c r="N947" s="152">
        <v>45654.666666666664</v>
      </c>
      <c r="O947" s="152">
        <v>45654.666666666664</v>
      </c>
      <c r="P947" s="152">
        <v>45654.670138888891</v>
      </c>
      <c r="Q947" s="152">
        <v>45654.84375</v>
      </c>
      <c r="R947" s="152" t="s">
        <v>118</v>
      </c>
      <c r="S947" s="152" t="s">
        <v>118</v>
      </c>
      <c r="T947" s="152">
        <v>45654.864583333336</v>
      </c>
      <c r="U947" s="152">
        <v>45655.03125</v>
      </c>
      <c r="V947" s="219">
        <f>+Q947-O947</f>
        <v>0.17708333333575865</v>
      </c>
      <c r="W947" s="203">
        <v>0.20833333333333334</v>
      </c>
      <c r="X947" s="219" t="str">
        <f>IF(VALUE(V947)&lt;=VALUE("05:00"),"00:00",VALUE(V947)-VALUE("05:00"))</f>
        <v>00:00</v>
      </c>
      <c r="Y947" s="96">
        <v>0</v>
      </c>
      <c r="Z947" s="96">
        <v>58</v>
      </c>
      <c r="AA947" s="96">
        <f t="shared" si="551"/>
        <v>58</v>
      </c>
      <c r="AB947" s="97">
        <f t="shared" si="552"/>
        <v>0</v>
      </c>
      <c r="AC947" s="97">
        <f t="shared" si="553"/>
        <v>4050.3299999999995</v>
      </c>
      <c r="AD947" s="98">
        <v>4050.33</v>
      </c>
      <c r="AE947" s="98">
        <v>4051.5</v>
      </c>
      <c r="AF947" s="98">
        <v>4076.8</v>
      </c>
      <c r="AG947" s="98">
        <f t="shared" si="554"/>
        <v>26.470000000000255</v>
      </c>
      <c r="AH947" s="99">
        <v>672.5</v>
      </c>
      <c r="AI947" s="100">
        <f t="shared" si="555"/>
        <v>2741648</v>
      </c>
      <c r="AJ947" s="100">
        <f t="shared" si="568"/>
        <v>0</v>
      </c>
      <c r="AK947" s="100">
        <v>0</v>
      </c>
      <c r="AL947" s="100">
        <v>24140</v>
      </c>
      <c r="AM947" s="100">
        <v>0</v>
      </c>
      <c r="AN947" s="100">
        <v>0</v>
      </c>
      <c r="AO947" s="100">
        <v>0</v>
      </c>
      <c r="AP947" s="100">
        <f t="shared" si="556"/>
        <v>138290</v>
      </c>
      <c r="AQ947" s="101">
        <f t="shared" si="557"/>
        <v>2904078</v>
      </c>
      <c r="AR947" s="101">
        <v>0</v>
      </c>
      <c r="AS947" s="101">
        <v>0</v>
      </c>
      <c r="AT947" s="102" t="s">
        <v>33</v>
      </c>
      <c r="AU947" s="109">
        <v>15</v>
      </c>
      <c r="AV947" s="100">
        <f>31.09-22.09</f>
        <v>9</v>
      </c>
      <c r="AW947" s="105">
        <v>0</v>
      </c>
      <c r="AX947" s="216">
        <f>IFERROR((AG947/AF947)*100, "")</f>
        <v>0.64928375196232957</v>
      </c>
      <c r="AY947" s="217">
        <f>ROUNDUP(AG947*AH947,0)</f>
        <v>17802</v>
      </c>
      <c r="AZ947" s="107"/>
      <c r="BA947" s="94">
        <v>45654.666666666664</v>
      </c>
      <c r="BB947" s="94">
        <v>45654.670138888891</v>
      </c>
      <c r="BC947" s="94">
        <v>45654.684027777781</v>
      </c>
      <c r="BD947" s="94">
        <v>45654.809027777781</v>
      </c>
      <c r="BE947" s="95">
        <f>+BD947-BA947</f>
        <v>0.14236111111677019</v>
      </c>
      <c r="BF947" s="95">
        <v>6.9444444444444441E-3</v>
      </c>
      <c r="BG947" s="95">
        <v>6.9444444444444441E-3</v>
      </c>
      <c r="BH947" s="95">
        <f t="shared" ref="BH947:BJ950" si="569">+BB947-BA947</f>
        <v>3.4722222262644209E-3</v>
      </c>
      <c r="BI947" s="95">
        <f t="shared" si="569"/>
        <v>1.3888888890505768E-2</v>
      </c>
      <c r="BJ947" s="95">
        <f t="shared" si="569"/>
        <v>0.125</v>
      </c>
      <c r="BK947" s="95">
        <f>+BI947+BJ947</f>
        <v>0.13888888889050577</v>
      </c>
      <c r="BL947" s="95">
        <f>+BE947-BH947-BF947-BG947</f>
        <v>0.12500000000161687</v>
      </c>
      <c r="BM947" s="95" t="str">
        <f>IF(VALUE(BE947)&lt;=VALUE("05:00"),"00:00",VALUE(BE947)-VALUE("05:00"))</f>
        <v>00:00</v>
      </c>
      <c r="BN947" s="110"/>
    </row>
    <row r="948" spans="1:66" s="8" customFormat="1" ht="12.75" customHeight="1" x14ac:dyDescent="0.25">
      <c r="A948" s="150">
        <v>871</v>
      </c>
      <c r="B948" s="150">
        <v>97</v>
      </c>
      <c r="C948" s="90">
        <v>8</v>
      </c>
      <c r="D948" s="111" t="s">
        <v>113</v>
      </c>
      <c r="E948" s="210" t="s">
        <v>996</v>
      </c>
      <c r="F948" s="150" t="s">
        <v>29</v>
      </c>
      <c r="G948" s="150" t="s">
        <v>15</v>
      </c>
      <c r="H948" s="150" t="s">
        <v>124</v>
      </c>
      <c r="I948" s="150" t="s">
        <v>1033</v>
      </c>
      <c r="J948" s="151">
        <v>45654</v>
      </c>
      <c r="K948" s="135" t="s">
        <v>117</v>
      </c>
      <c r="L948" s="135">
        <v>441000019</v>
      </c>
      <c r="M948" s="151">
        <v>45655</v>
      </c>
      <c r="N948" s="152">
        <v>45654.861111111109</v>
      </c>
      <c r="O948" s="152">
        <v>45654.822916666664</v>
      </c>
      <c r="P948" s="152">
        <v>45654.868055555555</v>
      </c>
      <c r="Q948" s="152">
        <v>45655.03125</v>
      </c>
      <c r="R948" s="152">
        <v>45654.861111111109</v>
      </c>
      <c r="S948" s="152" t="s">
        <v>118</v>
      </c>
      <c r="T948" s="152">
        <v>45655.041666666664</v>
      </c>
      <c r="U948" s="152">
        <v>45655.174305555556</v>
      </c>
      <c r="V948" s="219">
        <f>+Q948-O948</f>
        <v>0.20833333333575865</v>
      </c>
      <c r="W948" s="203">
        <v>0.20833333333333334</v>
      </c>
      <c r="X948" s="219">
        <f>IF(VALUE(V948)&lt;=VALUE("05:00"),"00:00",VALUE(V948)-VALUE("05:00"))</f>
        <v>2.4253099528692701E-12</v>
      </c>
      <c r="Y948" s="96">
        <v>0</v>
      </c>
      <c r="Z948" s="96">
        <v>58</v>
      </c>
      <c r="AA948" s="96">
        <f t="shared" si="551"/>
        <v>58</v>
      </c>
      <c r="AB948" s="97">
        <f t="shared" si="552"/>
        <v>0</v>
      </c>
      <c r="AC948" s="97">
        <f t="shared" si="553"/>
        <v>3948.32</v>
      </c>
      <c r="AD948" s="98">
        <v>3948.32</v>
      </c>
      <c r="AE948" s="98">
        <v>4028</v>
      </c>
      <c r="AF948" s="98">
        <v>4033.6</v>
      </c>
      <c r="AG948" s="98">
        <f t="shared" si="554"/>
        <v>85.279999999999745</v>
      </c>
      <c r="AH948" s="99">
        <v>797.2</v>
      </c>
      <c r="AI948" s="100">
        <f t="shared" si="555"/>
        <v>3215585.92</v>
      </c>
      <c r="AJ948" s="100">
        <f>(0.8*AH948)*2</f>
        <v>1275.5200000000002</v>
      </c>
      <c r="AK948" s="100">
        <v>0</v>
      </c>
      <c r="AL948" s="100">
        <v>0</v>
      </c>
      <c r="AM948" s="100">
        <v>0</v>
      </c>
      <c r="AN948" s="100">
        <v>0</v>
      </c>
      <c r="AO948" s="100">
        <v>0</v>
      </c>
      <c r="AP948" s="100">
        <f t="shared" si="556"/>
        <v>160844</v>
      </c>
      <c r="AQ948" s="101">
        <f t="shared" si="557"/>
        <v>3377706</v>
      </c>
      <c r="AR948" s="101">
        <v>0</v>
      </c>
      <c r="AS948" s="101">
        <v>0</v>
      </c>
      <c r="AT948" s="102" t="s">
        <v>33</v>
      </c>
      <c r="AU948" s="109" t="s">
        <v>118</v>
      </c>
      <c r="AV948" s="100">
        <v>0</v>
      </c>
      <c r="AW948" s="105">
        <v>0</v>
      </c>
      <c r="AX948" s="216">
        <f>IFERROR((AG948/AF948)*100, "")</f>
        <v>2.1142403808012631</v>
      </c>
      <c r="AY948" s="217">
        <f>ROUNDUP(AG948*AH948,0)</f>
        <v>67986</v>
      </c>
      <c r="AZ948" s="107"/>
      <c r="BA948" s="94">
        <v>45654.861111111109</v>
      </c>
      <c r="BB948" s="94">
        <v>45654.868055555555</v>
      </c>
      <c r="BC948" s="94">
        <v>45654.868055555555</v>
      </c>
      <c r="BD948" s="94">
        <v>45655.022222222222</v>
      </c>
      <c r="BE948" s="95">
        <f>+BD948-BA948</f>
        <v>0.16111111111240461</v>
      </c>
      <c r="BF948" s="95">
        <v>0</v>
      </c>
      <c r="BG948" s="95">
        <v>3.888888888888889E-2</v>
      </c>
      <c r="BH948" s="95">
        <f t="shared" si="569"/>
        <v>6.9444444452528842E-3</v>
      </c>
      <c r="BI948" s="95">
        <f t="shared" si="569"/>
        <v>0</v>
      </c>
      <c r="BJ948" s="95">
        <f t="shared" si="569"/>
        <v>0.15416666666715173</v>
      </c>
      <c r="BK948" s="95">
        <f>+BI948+BJ948</f>
        <v>0.15416666666715173</v>
      </c>
      <c r="BL948" s="95">
        <f>+BE948-BH948-BF948-BG948</f>
        <v>0.11527777777826284</v>
      </c>
      <c r="BM948" s="95" t="str">
        <f>IF(VALUE(BE948)&lt;=VALUE("05:00"),"00:00",VALUE(BE948)-VALUE("05:00"))</f>
        <v>00:00</v>
      </c>
      <c r="BN948" s="110"/>
    </row>
    <row r="949" spans="1:66" s="8" customFormat="1" ht="12.75" customHeight="1" x14ac:dyDescent="0.25">
      <c r="A949" s="150">
        <v>872</v>
      </c>
      <c r="B949" s="150">
        <v>98</v>
      </c>
      <c r="C949" s="90">
        <v>11</v>
      </c>
      <c r="D949" s="111" t="s">
        <v>113</v>
      </c>
      <c r="E949" s="210" t="s">
        <v>991</v>
      </c>
      <c r="F949" s="150" t="s">
        <v>27</v>
      </c>
      <c r="G949" s="150" t="s">
        <v>12</v>
      </c>
      <c r="H949" s="150" t="s">
        <v>115</v>
      </c>
      <c r="I949" s="150" t="s">
        <v>1034</v>
      </c>
      <c r="J949" s="151">
        <v>45655</v>
      </c>
      <c r="K949" s="135" t="s">
        <v>122</v>
      </c>
      <c r="L949" s="135">
        <v>282001094</v>
      </c>
      <c r="M949" s="151">
        <v>45656</v>
      </c>
      <c r="N949" s="152">
        <v>45655.53125</v>
      </c>
      <c r="O949" s="152">
        <v>45655.53125</v>
      </c>
      <c r="P949" s="152">
        <v>45655.541666666664</v>
      </c>
      <c r="Q949" s="152">
        <v>45655.729166666664</v>
      </c>
      <c r="R949" s="152" t="s">
        <v>118</v>
      </c>
      <c r="S949" s="152" t="s">
        <v>118</v>
      </c>
      <c r="T949" s="152">
        <v>45655.791666666664</v>
      </c>
      <c r="U949" s="152">
        <v>45655.881249999999</v>
      </c>
      <c r="V949" s="219">
        <f>+Q949-O949</f>
        <v>0.19791666666424135</v>
      </c>
      <c r="W949" s="203">
        <v>0.20833333333333334</v>
      </c>
      <c r="X949" s="219" t="str">
        <f>IF(VALUE(V949)&lt;=VALUE("05:00"),"00:00",VALUE(V949)-VALUE("05:00"))</f>
        <v>00:00</v>
      </c>
      <c r="Y949" s="96">
        <v>0</v>
      </c>
      <c r="Z949" s="96">
        <v>59</v>
      </c>
      <c r="AA949" s="96">
        <f t="shared" si="551"/>
        <v>59</v>
      </c>
      <c r="AB949" s="97">
        <f t="shared" si="552"/>
        <v>0</v>
      </c>
      <c r="AC949" s="97">
        <f t="shared" si="553"/>
        <v>3999.23</v>
      </c>
      <c r="AD949" s="98">
        <v>3999.23</v>
      </c>
      <c r="AE949" s="98">
        <v>4102.5</v>
      </c>
      <c r="AF949" s="98">
        <v>4106.6000000000004</v>
      </c>
      <c r="AG949" s="98">
        <f t="shared" si="554"/>
        <v>107.37000000000035</v>
      </c>
      <c r="AH949" s="99">
        <v>1586.7</v>
      </c>
      <c r="AI949" s="100">
        <f t="shared" si="555"/>
        <v>6515942.2200000007</v>
      </c>
      <c r="AJ949" s="100">
        <f>(0.8*AH949)*2</f>
        <v>2538.7200000000003</v>
      </c>
      <c r="AK949" s="100">
        <v>0</v>
      </c>
      <c r="AL949" s="100">
        <v>0</v>
      </c>
      <c r="AM949" s="100">
        <v>0</v>
      </c>
      <c r="AN949" s="100">
        <v>0</v>
      </c>
      <c r="AO949" s="100">
        <f>IFERROR(AF949*20+(((AJ949/AH949)/2)*20),0)</f>
        <v>82148</v>
      </c>
      <c r="AP949" s="100">
        <f t="shared" si="556"/>
        <v>330032</v>
      </c>
      <c r="AQ949" s="101">
        <f t="shared" si="557"/>
        <v>6930661</v>
      </c>
      <c r="AR949" s="101">
        <v>0</v>
      </c>
      <c r="AS949" s="101">
        <v>0</v>
      </c>
      <c r="AT949" s="102" t="s">
        <v>33</v>
      </c>
      <c r="AU949" s="109" t="s">
        <v>118</v>
      </c>
      <c r="AV949" s="100">
        <v>0</v>
      </c>
      <c r="AW949" s="105">
        <v>0</v>
      </c>
      <c r="AX949" s="216">
        <f>IFERROR((AG949/AF949)*100, "")</f>
        <v>2.6145716651244419</v>
      </c>
      <c r="AY949" s="217">
        <f>ROUNDUP(AG949*AH949,0)</f>
        <v>170364</v>
      </c>
      <c r="AZ949" s="107"/>
      <c r="BA949" s="94">
        <v>45655.53125</v>
      </c>
      <c r="BB949" s="94">
        <v>45655.541666666664</v>
      </c>
      <c r="BC949" s="94">
        <v>45655.552083333336</v>
      </c>
      <c r="BD949" s="94">
        <v>45655.688888888886</v>
      </c>
      <c r="BE949" s="95">
        <f>+BD949-BA949</f>
        <v>0.15763888888614019</v>
      </c>
      <c r="BF949" s="95">
        <v>0</v>
      </c>
      <c r="BG949" s="95">
        <v>1.0416666666666666E-2</v>
      </c>
      <c r="BH949" s="95">
        <f t="shared" si="569"/>
        <v>1.0416666664241347E-2</v>
      </c>
      <c r="BI949" s="95">
        <f t="shared" si="569"/>
        <v>1.0416666671517305E-2</v>
      </c>
      <c r="BJ949" s="95">
        <f t="shared" si="569"/>
        <v>0.13680555555038154</v>
      </c>
      <c r="BK949" s="95">
        <f>+BI949+BJ949</f>
        <v>0.14722222222189885</v>
      </c>
      <c r="BL949" s="95">
        <f>+BE949-BH949-BF949-BG949</f>
        <v>0.13680555555523219</v>
      </c>
      <c r="BM949" s="95" t="str">
        <f>IF(VALUE(BE949)&lt;=VALUE("05:00"),"00:00",VALUE(BE949)-VALUE("05:00"))</f>
        <v>00:00</v>
      </c>
      <c r="BN949" s="110"/>
    </row>
    <row r="950" spans="1:66" s="8" customFormat="1" ht="12.75" customHeight="1" x14ac:dyDescent="0.25">
      <c r="A950" s="115">
        <v>873</v>
      </c>
      <c r="B950" s="115">
        <v>99</v>
      </c>
      <c r="C950" s="90">
        <v>15</v>
      </c>
      <c r="D950" s="115" t="s">
        <v>113</v>
      </c>
      <c r="E950" s="210" t="s">
        <v>943</v>
      </c>
      <c r="F950" s="115" t="s">
        <v>32</v>
      </c>
      <c r="G950" s="115" t="s">
        <v>15</v>
      </c>
      <c r="H950" s="115" t="s">
        <v>135</v>
      </c>
      <c r="I950" s="115" t="s">
        <v>1035</v>
      </c>
      <c r="J950" s="117">
        <v>45655</v>
      </c>
      <c r="K950" s="116" t="s">
        <v>117</v>
      </c>
      <c r="L950" s="116">
        <v>261006153</v>
      </c>
      <c r="M950" s="117">
        <v>45656</v>
      </c>
      <c r="N950" s="118">
        <v>45655.784722222219</v>
      </c>
      <c r="O950" s="118">
        <v>45655.784722222219</v>
      </c>
      <c r="P950" s="118">
        <v>45655.802083333336</v>
      </c>
      <c r="Q950" s="118">
        <v>45655.989583333336</v>
      </c>
      <c r="R950" s="118" t="s">
        <v>118</v>
      </c>
      <c r="S950" s="118" t="s">
        <v>118</v>
      </c>
      <c r="T950" s="118">
        <v>45656.072916666664</v>
      </c>
      <c r="U950" s="118">
        <v>45656.134722222225</v>
      </c>
      <c r="V950" s="119">
        <f>+Q950-O950</f>
        <v>0.20486111111677019</v>
      </c>
      <c r="W950" s="185">
        <v>0.20833333333333334</v>
      </c>
      <c r="X950" s="119" t="str">
        <f>IF(VALUE(V950)&lt;=VALUE("05:00"),"00:00",VALUE(V950)-VALUE("05:00"))</f>
        <v>00:00</v>
      </c>
      <c r="Y950" s="96">
        <v>3</v>
      </c>
      <c r="Z950" s="96">
        <v>4.5</v>
      </c>
      <c r="AA950" s="96">
        <f t="shared" si="551"/>
        <v>7.5</v>
      </c>
      <c r="AB950" s="97">
        <f t="shared" si="552"/>
        <v>196.86800000000002</v>
      </c>
      <c r="AC950" s="97">
        <f t="shared" si="553"/>
        <v>295.30200000000002</v>
      </c>
      <c r="AD950" s="98">
        <f>3862.46-3370.29</f>
        <v>492.17000000000007</v>
      </c>
      <c r="AE950" s="98">
        <f>4021.4-3506</f>
        <v>515.40000000000009</v>
      </c>
      <c r="AF950" s="98">
        <f>4022.4-3507</f>
        <v>515.40000000000009</v>
      </c>
      <c r="AG950" s="98">
        <f t="shared" si="554"/>
        <v>23.230000000000018</v>
      </c>
      <c r="AH950" s="99">
        <v>797.2</v>
      </c>
      <c r="AI950" s="100">
        <f t="shared" si="555"/>
        <v>410876.88000000012</v>
      </c>
      <c r="AJ950" s="100">
        <f>(0.2*AH950)*2</f>
        <v>318.88000000000005</v>
      </c>
      <c r="AK950" s="100">
        <v>0</v>
      </c>
      <c r="AL950" s="100">
        <v>0</v>
      </c>
      <c r="AM950" s="100">
        <v>0</v>
      </c>
      <c r="AN950" s="100">
        <v>0</v>
      </c>
      <c r="AO950" s="100">
        <v>0</v>
      </c>
      <c r="AP950" s="100">
        <f>ROUNDUP(SUM(AI950:AO950)*5%,0)-1</f>
        <v>20559</v>
      </c>
      <c r="AQ950" s="101">
        <f t="shared" si="557"/>
        <v>431755</v>
      </c>
      <c r="AR950" s="101">
        <v>0</v>
      </c>
      <c r="AS950" s="101">
        <v>0</v>
      </c>
      <c r="AT950" s="137" t="s">
        <v>33</v>
      </c>
      <c r="AU950" s="120" t="s">
        <v>118</v>
      </c>
      <c r="AV950" s="121">
        <v>0</v>
      </c>
      <c r="AW950" s="105">
        <v>0</v>
      </c>
      <c r="AX950" s="140">
        <f>IFERROR(((AG950+AG951)/(AF950+AF951))*100, "")</f>
        <v>3.9762330946698503</v>
      </c>
      <c r="AY950" s="141">
        <f>ROUNDUP((AG950+AG951)*AH950,0)</f>
        <v>127505</v>
      </c>
      <c r="AZ950" s="107"/>
      <c r="BA950" s="118">
        <v>45655.784722222219</v>
      </c>
      <c r="BB950" s="118">
        <v>45655.802083333336</v>
      </c>
      <c r="BC950" s="118">
        <v>45655.802083333336</v>
      </c>
      <c r="BD950" s="118">
        <v>45655.975694444445</v>
      </c>
      <c r="BE950" s="119">
        <f>+BD950-BA950</f>
        <v>0.19097222222626442</v>
      </c>
      <c r="BF950" s="119">
        <v>2.7777777777777779E-3</v>
      </c>
      <c r="BG950" s="119">
        <v>5.9722222222222225E-2</v>
      </c>
      <c r="BH950" s="119">
        <f t="shared" si="569"/>
        <v>1.7361111116770189E-2</v>
      </c>
      <c r="BI950" s="119">
        <f t="shared" si="569"/>
        <v>0</v>
      </c>
      <c r="BJ950" s="119">
        <f t="shared" si="569"/>
        <v>0.17361111110949423</v>
      </c>
      <c r="BK950" s="119">
        <f>+BI950+BJ950</f>
        <v>0.17361111110949423</v>
      </c>
      <c r="BL950" s="119">
        <f>+BE950-BH950-BF950-BG950</f>
        <v>0.11111111110949423</v>
      </c>
      <c r="BM950" s="119" t="str">
        <f>IF(VALUE(BE950)&lt;=VALUE("05:00"),"00:00",VALUE(BE950)-VALUE("05:00"))</f>
        <v>00:00</v>
      </c>
      <c r="BN950" s="110" t="s">
        <v>1036</v>
      </c>
    </row>
    <row r="951" spans="1:66" s="8" customFormat="1" ht="12.75" customHeight="1" x14ac:dyDescent="0.25">
      <c r="A951" s="122"/>
      <c r="B951" s="122"/>
      <c r="C951" s="90">
        <v>2</v>
      </c>
      <c r="D951" s="122"/>
      <c r="E951" s="210" t="s">
        <v>1024</v>
      </c>
      <c r="F951" s="122"/>
      <c r="G951" s="122"/>
      <c r="H951" s="122"/>
      <c r="I951" s="122"/>
      <c r="J951" s="124"/>
      <c r="K951" s="123"/>
      <c r="L951" s="123"/>
      <c r="M951" s="124"/>
      <c r="N951" s="125"/>
      <c r="O951" s="125"/>
      <c r="P951" s="125"/>
      <c r="Q951" s="125"/>
      <c r="R951" s="125"/>
      <c r="S951" s="125"/>
      <c r="T951" s="125"/>
      <c r="U951" s="125"/>
      <c r="V951" s="126"/>
      <c r="W951" s="189"/>
      <c r="X951" s="126"/>
      <c r="Y951" s="96">
        <v>0</v>
      </c>
      <c r="Z951" s="96">
        <v>50.5</v>
      </c>
      <c r="AA951" s="96">
        <f t="shared" si="551"/>
        <v>50.5</v>
      </c>
      <c r="AB951" s="97">
        <f t="shared" si="552"/>
        <v>0</v>
      </c>
      <c r="AC951" s="97">
        <f t="shared" si="553"/>
        <v>3370.29</v>
      </c>
      <c r="AD951" s="98">
        <v>3370.29</v>
      </c>
      <c r="AE951" s="98">
        <v>3506</v>
      </c>
      <c r="AF951" s="98">
        <v>3507</v>
      </c>
      <c r="AG951" s="98">
        <f t="shared" si="554"/>
        <v>136.71000000000004</v>
      </c>
      <c r="AH951" s="99">
        <v>797.2</v>
      </c>
      <c r="AI951" s="100">
        <f t="shared" si="555"/>
        <v>2795780.4000000004</v>
      </c>
      <c r="AJ951" s="100">
        <f>(0*AH951)*2</f>
        <v>0</v>
      </c>
      <c r="AK951" s="100">
        <v>0</v>
      </c>
      <c r="AL951" s="100">
        <v>0</v>
      </c>
      <c r="AM951" s="100">
        <v>0</v>
      </c>
      <c r="AN951" s="100">
        <v>0</v>
      </c>
      <c r="AO951" s="100">
        <v>0</v>
      </c>
      <c r="AP951" s="100">
        <f t="shared" ref="AP951:AP982" si="570">ROUNDUP(SUM(AI951:AO951)*5%,0)</f>
        <v>139790</v>
      </c>
      <c r="AQ951" s="101">
        <f t="shared" si="557"/>
        <v>2935571</v>
      </c>
      <c r="AR951" s="101">
        <v>0</v>
      </c>
      <c r="AS951" s="101">
        <v>0</v>
      </c>
      <c r="AT951" s="138"/>
      <c r="AU951" s="127"/>
      <c r="AV951" s="128"/>
      <c r="AW951" s="105">
        <v>0</v>
      </c>
      <c r="AX951" s="144"/>
      <c r="AY951" s="145"/>
      <c r="AZ951" s="107"/>
      <c r="BA951" s="125"/>
      <c r="BB951" s="125"/>
      <c r="BC951" s="125"/>
      <c r="BD951" s="125"/>
      <c r="BE951" s="126"/>
      <c r="BF951" s="126"/>
      <c r="BG951" s="126"/>
      <c r="BH951" s="126"/>
      <c r="BI951" s="126"/>
      <c r="BJ951" s="126"/>
      <c r="BK951" s="126"/>
      <c r="BL951" s="126"/>
      <c r="BM951" s="126"/>
      <c r="BN951" s="110" t="s">
        <v>1037</v>
      </c>
    </row>
    <row r="952" spans="1:66" s="8" customFormat="1" ht="12.75" customHeight="1" x14ac:dyDescent="0.25">
      <c r="A952" s="150">
        <v>874</v>
      </c>
      <c r="B952" s="150">
        <v>100</v>
      </c>
      <c r="C952" s="90">
        <v>9</v>
      </c>
      <c r="D952" s="111" t="s">
        <v>113</v>
      </c>
      <c r="E952" s="210" t="s">
        <v>996</v>
      </c>
      <c r="F952" s="150" t="s">
        <v>29</v>
      </c>
      <c r="G952" s="150" t="s">
        <v>15</v>
      </c>
      <c r="H952" s="150" t="s">
        <v>124</v>
      </c>
      <c r="I952" s="150" t="s">
        <v>1038</v>
      </c>
      <c r="J952" s="151">
        <v>45656</v>
      </c>
      <c r="K952" s="135" t="s">
        <v>117</v>
      </c>
      <c r="L952" s="135">
        <v>261006154</v>
      </c>
      <c r="M952" s="151">
        <v>45656</v>
      </c>
      <c r="N952" s="152">
        <v>45656.416666666664</v>
      </c>
      <c r="O952" s="152">
        <v>45656.416666666664</v>
      </c>
      <c r="P952" s="152">
        <v>45656.423611111109</v>
      </c>
      <c r="Q952" s="152">
        <v>45656.614583333336</v>
      </c>
      <c r="R952" s="152" t="s">
        <v>118</v>
      </c>
      <c r="S952" s="152" t="s">
        <v>118</v>
      </c>
      <c r="T952" s="152">
        <v>45656.680555555555</v>
      </c>
      <c r="U952" s="152">
        <v>45656.793055555558</v>
      </c>
      <c r="V952" s="219">
        <f>+Q952-O952</f>
        <v>0.19791666667151731</v>
      </c>
      <c r="W952" s="203">
        <v>0.20833333333333334</v>
      </c>
      <c r="X952" s="219" t="str">
        <f>IF(VALUE(V952)&lt;=VALUE("05:00"),"00:00",VALUE(V952)-VALUE("05:00"))</f>
        <v>00:00</v>
      </c>
      <c r="Y952" s="96">
        <v>0</v>
      </c>
      <c r="Z952" s="96">
        <v>59</v>
      </c>
      <c r="AA952" s="96">
        <f t="shared" si="551"/>
        <v>59</v>
      </c>
      <c r="AB952" s="97">
        <f t="shared" si="552"/>
        <v>0</v>
      </c>
      <c r="AC952" s="97">
        <f t="shared" si="553"/>
        <v>4053.92</v>
      </c>
      <c r="AD952" s="98">
        <v>4053.92</v>
      </c>
      <c r="AE952" s="98">
        <v>4111</v>
      </c>
      <c r="AF952" s="98">
        <v>4116</v>
      </c>
      <c r="AG952" s="98">
        <f t="shared" si="554"/>
        <v>62.079999999999927</v>
      </c>
      <c r="AH952" s="99">
        <v>797.2</v>
      </c>
      <c r="AI952" s="100">
        <f t="shared" si="555"/>
        <v>3281275.2</v>
      </c>
      <c r="AJ952" s="100">
        <f>(0.2*AH952)*2</f>
        <v>318.88000000000005</v>
      </c>
      <c r="AK952" s="100">
        <v>0</v>
      </c>
      <c r="AL952" s="100">
        <v>0</v>
      </c>
      <c r="AM952" s="100">
        <v>0</v>
      </c>
      <c r="AN952" s="100">
        <v>0</v>
      </c>
      <c r="AO952" s="100">
        <v>0</v>
      </c>
      <c r="AP952" s="100">
        <f t="shared" si="570"/>
        <v>164080</v>
      </c>
      <c r="AQ952" s="101">
        <f t="shared" si="557"/>
        <v>3445675</v>
      </c>
      <c r="AR952" s="101">
        <v>0</v>
      </c>
      <c r="AS952" s="101">
        <v>0</v>
      </c>
      <c r="AT952" s="102" t="s">
        <v>33</v>
      </c>
      <c r="AU952" s="109" t="s">
        <v>118</v>
      </c>
      <c r="AV952" s="100">
        <v>0</v>
      </c>
      <c r="AW952" s="105">
        <v>0</v>
      </c>
      <c r="AX952" s="216">
        <f>IFERROR((AG952/AF952)*100, "")</f>
        <v>1.5082604470359555</v>
      </c>
      <c r="AY952" s="217">
        <f>ROUNDUP(AG952*AH952,0)</f>
        <v>49491</v>
      </c>
      <c r="AZ952" s="107"/>
      <c r="BA952" s="94">
        <v>45656.416666666664</v>
      </c>
      <c r="BB952" s="94">
        <v>45656.423611111109</v>
      </c>
      <c r="BC952" s="94">
        <v>45656.423611111109</v>
      </c>
      <c r="BD952" s="94">
        <v>45656.601388888892</v>
      </c>
      <c r="BE952" s="95">
        <f>+BD952-BA952</f>
        <v>0.18472222222771961</v>
      </c>
      <c r="BF952" s="95">
        <v>0</v>
      </c>
      <c r="BG952" s="95">
        <v>7.0833333333333331E-2</v>
      </c>
      <c r="BH952" s="95">
        <f t="shared" ref="BH952:BJ953" si="571">+BB952-BA952</f>
        <v>6.9444444452528842E-3</v>
      </c>
      <c r="BI952" s="95">
        <f t="shared" si="571"/>
        <v>0</v>
      </c>
      <c r="BJ952" s="95">
        <f t="shared" si="571"/>
        <v>0.17777777778246673</v>
      </c>
      <c r="BK952" s="95">
        <f>+BI952+BJ952</f>
        <v>0.17777777778246673</v>
      </c>
      <c r="BL952" s="95">
        <f>+BE952-BH952-BF952-BG952</f>
        <v>0.1069444444491334</v>
      </c>
      <c r="BM952" s="95" t="str">
        <f>IF(VALUE(BE952)&lt;=VALUE("05:00"),"00:00",VALUE(BE952)-VALUE("05:00"))</f>
        <v>00:00</v>
      </c>
      <c r="BN952" s="110"/>
    </row>
    <row r="953" spans="1:66" s="8" customFormat="1" ht="12.75" customHeight="1" x14ac:dyDescent="0.25">
      <c r="A953" s="115">
        <v>875</v>
      </c>
      <c r="B953" s="115">
        <v>1</v>
      </c>
      <c r="C953" s="90">
        <v>18</v>
      </c>
      <c r="D953" s="115" t="s">
        <v>148</v>
      </c>
      <c r="E953" s="210" t="s">
        <v>1022</v>
      </c>
      <c r="F953" s="115" t="s">
        <v>16</v>
      </c>
      <c r="G953" s="115" t="s">
        <v>17</v>
      </c>
      <c r="H953" s="115" t="s">
        <v>150</v>
      </c>
      <c r="I953" s="115" t="s">
        <v>485</v>
      </c>
      <c r="J953" s="117">
        <v>45658</v>
      </c>
      <c r="K953" s="116" t="s">
        <v>122</v>
      </c>
      <c r="L953" s="116">
        <v>461000639</v>
      </c>
      <c r="M953" s="117">
        <v>45659</v>
      </c>
      <c r="N953" s="118">
        <v>45658.666666666664</v>
      </c>
      <c r="O953" s="118">
        <v>45658.666666666664</v>
      </c>
      <c r="P953" s="118">
        <v>45658.684027777781</v>
      </c>
      <c r="Q953" s="118">
        <v>45658.833333333336</v>
      </c>
      <c r="R953" s="118" t="s">
        <v>118</v>
      </c>
      <c r="S953" s="118" t="s">
        <v>118</v>
      </c>
      <c r="T953" s="118">
        <v>45658.923611111109</v>
      </c>
      <c r="U953" s="118">
        <v>45659.076388888891</v>
      </c>
      <c r="V953" s="119">
        <f>+Q953-O953</f>
        <v>0.16666666667151731</v>
      </c>
      <c r="W953" s="185">
        <v>0.20833333333333334</v>
      </c>
      <c r="X953" s="119" t="str">
        <f>IF(VALUE(V953)&lt;=VALUE("05:00"),"00:00",VALUE(V953)-VALUE("05:00"))</f>
        <v>00:00</v>
      </c>
      <c r="Y953" s="96">
        <v>0</v>
      </c>
      <c r="Z953" s="96">
        <v>20</v>
      </c>
      <c r="AA953" s="96">
        <f t="shared" si="551"/>
        <v>20</v>
      </c>
      <c r="AB953" s="97">
        <f t="shared" si="552"/>
        <v>0</v>
      </c>
      <c r="AC953" s="97">
        <f t="shared" si="553"/>
        <v>1331.9700000000003</v>
      </c>
      <c r="AD953" s="98">
        <f>4055.59-2723.62</f>
        <v>1331.9700000000003</v>
      </c>
      <c r="AE953" s="98">
        <f>4022.4-2634.2</f>
        <v>1388.2000000000003</v>
      </c>
      <c r="AF953" s="98">
        <f>4068.2-2723.62</f>
        <v>1344.58</v>
      </c>
      <c r="AG953" s="98">
        <f t="shared" si="554"/>
        <v>12.609999999999673</v>
      </c>
      <c r="AH953" s="99">
        <v>672.5</v>
      </c>
      <c r="AI953" s="100">
        <f t="shared" si="555"/>
        <v>904230.04999999993</v>
      </c>
      <c r="AJ953" s="100">
        <f t="shared" ref="AJ953:AJ961" si="572">(0*AH953)*2</f>
        <v>0</v>
      </c>
      <c r="AK953" s="100">
        <v>0</v>
      </c>
      <c r="AL953" s="100">
        <v>48280</v>
      </c>
      <c r="AM953" s="100">
        <v>0</v>
      </c>
      <c r="AN953" s="100">
        <v>0</v>
      </c>
      <c r="AO953" s="100">
        <v>0</v>
      </c>
      <c r="AP953" s="100">
        <f t="shared" si="570"/>
        <v>47626</v>
      </c>
      <c r="AQ953" s="101">
        <f>ROUNDUP(SUM(AI953:AP953),0)-1</f>
        <v>1000136</v>
      </c>
      <c r="AR953" s="101">
        <v>0</v>
      </c>
      <c r="AS953" s="101">
        <v>0</v>
      </c>
      <c r="AT953" s="137" t="s">
        <v>33</v>
      </c>
      <c r="AU953" s="120">
        <v>30</v>
      </c>
      <c r="AV953" s="121">
        <f>68.85-38.85</f>
        <v>29.999999999999993</v>
      </c>
      <c r="AW953" s="105">
        <v>0</v>
      </c>
      <c r="AX953" s="140">
        <f>IFERROR(((AG953+AG954)/(AF953+AF954))*100, "")</f>
        <v>0.30996509512805848</v>
      </c>
      <c r="AY953" s="141">
        <f>ROUNDUP((AG953+AG954)*AH953,0)</f>
        <v>8481</v>
      </c>
      <c r="AZ953" s="107"/>
      <c r="BA953" s="118">
        <v>45658.666666666664</v>
      </c>
      <c r="BB953" s="118">
        <v>45658.684027777781</v>
      </c>
      <c r="BC953" s="118">
        <v>45658.684027777781</v>
      </c>
      <c r="BD953" s="118">
        <v>45658.798611111109</v>
      </c>
      <c r="BE953" s="119">
        <f>+BD953-BA953</f>
        <v>0.13194444444525288</v>
      </c>
      <c r="BF953" s="119">
        <v>0</v>
      </c>
      <c r="BG953" s="119">
        <v>0</v>
      </c>
      <c r="BH953" s="119">
        <f t="shared" si="571"/>
        <v>1.7361111116770189E-2</v>
      </c>
      <c r="BI953" s="119">
        <f t="shared" si="571"/>
        <v>0</v>
      </c>
      <c r="BJ953" s="119">
        <f t="shared" si="571"/>
        <v>0.11458333332848269</v>
      </c>
      <c r="BK953" s="119">
        <f>+BI953+BJ953</f>
        <v>0.11458333332848269</v>
      </c>
      <c r="BL953" s="119">
        <f>+BE953-BH953-BF953-BG953</f>
        <v>0.11458333332848269</v>
      </c>
      <c r="BM953" s="119" t="str">
        <f>IF(VALUE(BE953)&lt;=VALUE("05:00"),"00:00",VALUE(BE953)-VALUE("05:00"))</f>
        <v>00:00</v>
      </c>
      <c r="BN953" s="110" t="s">
        <v>1039</v>
      </c>
    </row>
    <row r="954" spans="1:66" s="8" customFormat="1" ht="12.75" customHeight="1" x14ac:dyDescent="0.25">
      <c r="A954" s="122"/>
      <c r="B954" s="122"/>
      <c r="C954" s="90">
        <v>1</v>
      </c>
      <c r="D954" s="122"/>
      <c r="E954" s="210" t="s">
        <v>1040</v>
      </c>
      <c r="F954" s="122"/>
      <c r="G954" s="122"/>
      <c r="H954" s="122"/>
      <c r="I954" s="122"/>
      <c r="J954" s="124"/>
      <c r="K954" s="123"/>
      <c r="L954" s="123"/>
      <c r="M954" s="124"/>
      <c r="N954" s="125"/>
      <c r="O954" s="125"/>
      <c r="P954" s="125"/>
      <c r="Q954" s="125"/>
      <c r="R954" s="125"/>
      <c r="S954" s="125"/>
      <c r="T954" s="125"/>
      <c r="U954" s="125"/>
      <c r="V954" s="126"/>
      <c r="W954" s="189"/>
      <c r="X954" s="126"/>
      <c r="Y954" s="96">
        <v>0</v>
      </c>
      <c r="Z954" s="96">
        <v>38</v>
      </c>
      <c r="AA954" s="96">
        <f t="shared" si="551"/>
        <v>38</v>
      </c>
      <c r="AB954" s="97">
        <f t="shared" si="552"/>
        <v>0</v>
      </c>
      <c r="AC954" s="97">
        <f t="shared" si="553"/>
        <v>2723.62</v>
      </c>
      <c r="AD954" s="98">
        <v>2723.62</v>
      </c>
      <c r="AE954" s="98">
        <v>2634.2</v>
      </c>
      <c r="AF954" s="98">
        <v>2723.62</v>
      </c>
      <c r="AG954" s="98">
        <f t="shared" si="554"/>
        <v>0</v>
      </c>
      <c r="AH954" s="99">
        <v>672.5</v>
      </c>
      <c r="AI954" s="100">
        <f t="shared" si="555"/>
        <v>1831634.45</v>
      </c>
      <c r="AJ954" s="100">
        <f t="shared" si="572"/>
        <v>0</v>
      </c>
      <c r="AK954" s="100">
        <v>0</v>
      </c>
      <c r="AL954" s="100">
        <v>0</v>
      </c>
      <c r="AM954" s="100">
        <v>0</v>
      </c>
      <c r="AN954" s="100">
        <v>0</v>
      </c>
      <c r="AO954" s="100">
        <v>0</v>
      </c>
      <c r="AP954" s="100">
        <f t="shared" si="570"/>
        <v>91582</v>
      </c>
      <c r="AQ954" s="101">
        <f t="shared" ref="AQ954:AQ1000" si="573">ROUNDUP(SUM(AI954:AP954),0)</f>
        <v>1923217</v>
      </c>
      <c r="AR954" s="101">
        <v>0</v>
      </c>
      <c r="AS954" s="101">
        <v>0</v>
      </c>
      <c r="AT954" s="138"/>
      <c r="AU954" s="127"/>
      <c r="AV954" s="128"/>
      <c r="AW954" s="105">
        <v>0</v>
      </c>
      <c r="AX954" s="144"/>
      <c r="AY954" s="145"/>
      <c r="AZ954" s="107"/>
      <c r="BA954" s="125"/>
      <c r="BB954" s="125"/>
      <c r="BC954" s="125"/>
      <c r="BD954" s="125"/>
      <c r="BE954" s="126"/>
      <c r="BF954" s="126"/>
      <c r="BG954" s="126"/>
      <c r="BH954" s="126"/>
      <c r="BI954" s="126"/>
      <c r="BJ954" s="126"/>
      <c r="BK954" s="126"/>
      <c r="BL954" s="126"/>
      <c r="BM954" s="126"/>
      <c r="BN954" s="110" t="s">
        <v>1041</v>
      </c>
    </row>
    <row r="955" spans="1:66" s="8" customFormat="1" ht="12.75" customHeight="1" x14ac:dyDescent="0.25">
      <c r="A955" s="150">
        <v>876</v>
      </c>
      <c r="B955" s="150">
        <v>2</v>
      </c>
      <c r="C955" s="90">
        <v>2</v>
      </c>
      <c r="D955" s="111" t="s">
        <v>148</v>
      </c>
      <c r="E955" s="210" t="s">
        <v>1040</v>
      </c>
      <c r="F955" s="150" t="s">
        <v>16</v>
      </c>
      <c r="G955" s="150" t="s">
        <v>17</v>
      </c>
      <c r="H955" s="150" t="s">
        <v>150</v>
      </c>
      <c r="I955" s="150" t="s">
        <v>489</v>
      </c>
      <c r="J955" s="151">
        <v>45658</v>
      </c>
      <c r="K955" s="135" t="s">
        <v>117</v>
      </c>
      <c r="L955" s="135">
        <v>461000640</v>
      </c>
      <c r="M955" s="151">
        <v>45659</v>
      </c>
      <c r="N955" s="152">
        <v>45659.166666666664</v>
      </c>
      <c r="O955" s="152">
        <v>45659.166666666664</v>
      </c>
      <c r="P955" s="152">
        <v>45659.177083333336</v>
      </c>
      <c r="Q955" s="152">
        <v>45659.333333333336</v>
      </c>
      <c r="R955" s="152" t="s">
        <v>118</v>
      </c>
      <c r="S955" s="152" t="s">
        <v>118</v>
      </c>
      <c r="T955" s="152">
        <v>45659.354166666664</v>
      </c>
      <c r="U955" s="152">
        <v>45659.46875</v>
      </c>
      <c r="V955" s="219">
        <f t="shared" ref="V955:V1001" si="574">+Q955-O955</f>
        <v>0.16666666667151731</v>
      </c>
      <c r="W955" s="203">
        <v>0.20833333333333334</v>
      </c>
      <c r="X955" s="219" t="str">
        <f t="shared" ref="X955:X1001" si="575">IF(VALUE(V955)&lt;=VALUE("05:00"),"00:00",VALUE(V955)-VALUE("05:00"))</f>
        <v>00:00</v>
      </c>
      <c r="Y955" s="96">
        <v>0</v>
      </c>
      <c r="Z955" s="96">
        <v>59</v>
      </c>
      <c r="AA955" s="96">
        <f t="shared" si="551"/>
        <v>59</v>
      </c>
      <c r="AB955" s="97">
        <f t="shared" si="552"/>
        <v>0</v>
      </c>
      <c r="AC955" s="97">
        <f t="shared" si="553"/>
        <v>4082.51</v>
      </c>
      <c r="AD955" s="98">
        <v>4082.51</v>
      </c>
      <c r="AE955" s="98">
        <v>4084</v>
      </c>
      <c r="AF955" s="98">
        <v>4107.2</v>
      </c>
      <c r="AG955" s="98">
        <f t="shared" si="554"/>
        <v>24.6899999999996</v>
      </c>
      <c r="AH955" s="99">
        <v>672.5</v>
      </c>
      <c r="AI955" s="100">
        <f t="shared" si="555"/>
        <v>2762092</v>
      </c>
      <c r="AJ955" s="100">
        <f t="shared" si="572"/>
        <v>0</v>
      </c>
      <c r="AK955" s="100">
        <v>0</v>
      </c>
      <c r="AL955" s="100">
        <v>24290</v>
      </c>
      <c r="AM955" s="100">
        <v>0</v>
      </c>
      <c r="AN955" s="100">
        <v>0</v>
      </c>
      <c r="AO955" s="100">
        <v>0</v>
      </c>
      <c r="AP955" s="100">
        <f t="shared" si="570"/>
        <v>139320</v>
      </c>
      <c r="AQ955" s="101">
        <f t="shared" si="573"/>
        <v>2925702</v>
      </c>
      <c r="AR955" s="101">
        <v>0</v>
      </c>
      <c r="AS955" s="101">
        <v>0</v>
      </c>
      <c r="AT955" s="102" t="s">
        <v>33</v>
      </c>
      <c r="AU955" s="109">
        <v>11</v>
      </c>
      <c r="AV955" s="100">
        <f>27.34-20.84</f>
        <v>6.5</v>
      </c>
      <c r="AW955" s="105">
        <v>0</v>
      </c>
      <c r="AX955" s="216">
        <f t="shared" ref="AX955:AX1000" si="576">IFERROR((AG955/AF955)*100, "")</f>
        <v>0.60113946240746974</v>
      </c>
      <c r="AY955" s="217">
        <f t="shared" ref="AY955:AY1000" si="577">ROUNDUP(AG955*AH955,0)</f>
        <v>16605</v>
      </c>
      <c r="AZ955" s="107"/>
      <c r="BA955" s="94">
        <v>45659.166666666664</v>
      </c>
      <c r="BB955" s="94">
        <v>45659.177083333336</v>
      </c>
      <c r="BC955" s="94">
        <v>45659.177083333336</v>
      </c>
      <c r="BD955" s="94">
        <v>45659.3</v>
      </c>
      <c r="BE955" s="95">
        <f t="shared" ref="BE955:BE1001" si="578">+BD955-BA955</f>
        <v>0.13333333333866904</v>
      </c>
      <c r="BF955" s="95">
        <v>0</v>
      </c>
      <c r="BG955" s="95">
        <v>0</v>
      </c>
      <c r="BH955" s="95">
        <f t="shared" ref="BH955:BJ1001" si="579">+BB955-BA955</f>
        <v>1.0416666671517305E-2</v>
      </c>
      <c r="BI955" s="95">
        <f t="shared" si="579"/>
        <v>0</v>
      </c>
      <c r="BJ955" s="95">
        <f t="shared" si="579"/>
        <v>0.12291666666715173</v>
      </c>
      <c r="BK955" s="95">
        <f t="shared" ref="BK955:BK1001" si="580">+BI955+BJ955</f>
        <v>0.12291666666715173</v>
      </c>
      <c r="BL955" s="95">
        <f t="shared" ref="BL955:BL1001" si="581">+BE955-BH955-BF955-BG955</f>
        <v>0.12291666666715173</v>
      </c>
      <c r="BM955" s="95" t="str">
        <f t="shared" ref="BM955:BM1001" si="582">IF(VALUE(BE955)&lt;=VALUE("05:00"),"00:00",VALUE(BE955)-VALUE("05:00"))</f>
        <v>00:00</v>
      </c>
      <c r="BN955" s="110"/>
    </row>
    <row r="956" spans="1:66" s="8" customFormat="1" ht="12.75" customHeight="1" x14ac:dyDescent="0.25">
      <c r="A956" s="150">
        <v>877</v>
      </c>
      <c r="B956" s="150">
        <v>3</v>
      </c>
      <c r="C956" s="90">
        <v>3</v>
      </c>
      <c r="D956" s="111" t="s">
        <v>148</v>
      </c>
      <c r="E956" s="210" t="s">
        <v>1040</v>
      </c>
      <c r="F956" s="150" t="s">
        <v>16</v>
      </c>
      <c r="G956" s="150" t="s">
        <v>17</v>
      </c>
      <c r="H956" s="150" t="s">
        <v>150</v>
      </c>
      <c r="I956" s="150" t="s">
        <v>490</v>
      </c>
      <c r="J956" s="151">
        <v>45658</v>
      </c>
      <c r="K956" s="135" t="s">
        <v>122</v>
      </c>
      <c r="L956" s="135">
        <v>461000641</v>
      </c>
      <c r="M956" s="151">
        <v>45659</v>
      </c>
      <c r="N956" s="152">
        <v>45659.3125</v>
      </c>
      <c r="O956" s="152">
        <v>45659.3125</v>
      </c>
      <c r="P956" s="152">
        <v>45659.315972222219</v>
      </c>
      <c r="Q956" s="152">
        <v>45659.5</v>
      </c>
      <c r="R956" s="152" t="s">
        <v>118</v>
      </c>
      <c r="S956" s="152" t="s">
        <v>118</v>
      </c>
      <c r="T956" s="152">
        <v>45659.604166666664</v>
      </c>
      <c r="U956" s="152">
        <v>45659.760416666664</v>
      </c>
      <c r="V956" s="219">
        <f t="shared" si="574"/>
        <v>0.1875</v>
      </c>
      <c r="W956" s="203">
        <v>0.20833333333333334</v>
      </c>
      <c r="X956" s="219" t="str">
        <f t="shared" si="575"/>
        <v>00:00</v>
      </c>
      <c r="Y956" s="96">
        <v>0</v>
      </c>
      <c r="Z956" s="96">
        <v>56</v>
      </c>
      <c r="AA956" s="96">
        <f t="shared" si="551"/>
        <v>56</v>
      </c>
      <c r="AB956" s="97">
        <f t="shared" si="552"/>
        <v>0</v>
      </c>
      <c r="AC956" s="97">
        <f t="shared" si="553"/>
        <v>3895.8699999999994</v>
      </c>
      <c r="AD956" s="98">
        <v>3895.87</v>
      </c>
      <c r="AE956" s="98">
        <v>3898</v>
      </c>
      <c r="AF956" s="98">
        <v>3919</v>
      </c>
      <c r="AG956" s="98">
        <f t="shared" si="554"/>
        <v>23.130000000000109</v>
      </c>
      <c r="AH956" s="99">
        <v>672.5</v>
      </c>
      <c r="AI956" s="100">
        <f t="shared" si="555"/>
        <v>2635527.5</v>
      </c>
      <c r="AJ956" s="100">
        <f t="shared" si="572"/>
        <v>0</v>
      </c>
      <c r="AK956" s="100">
        <v>0</v>
      </c>
      <c r="AL956" s="100">
        <v>23840</v>
      </c>
      <c r="AM956" s="100">
        <v>0</v>
      </c>
      <c r="AN956" s="100">
        <v>0</v>
      </c>
      <c r="AO956" s="100">
        <v>0</v>
      </c>
      <c r="AP956" s="100">
        <f t="shared" si="570"/>
        <v>132969</v>
      </c>
      <c r="AQ956" s="101">
        <f t="shared" si="573"/>
        <v>2792337</v>
      </c>
      <c r="AR956" s="101">
        <v>0</v>
      </c>
      <c r="AS956" s="101">
        <v>0</v>
      </c>
      <c r="AT956" s="102" t="s">
        <v>33</v>
      </c>
      <c r="AU956" s="109">
        <v>11</v>
      </c>
      <c r="AV956" s="100">
        <f>26.16-18.16</f>
        <v>8</v>
      </c>
      <c r="AW956" s="105">
        <v>0</v>
      </c>
      <c r="AX956" s="216">
        <f t="shared" si="576"/>
        <v>0.59020158203623652</v>
      </c>
      <c r="AY956" s="217">
        <f t="shared" si="577"/>
        <v>15555</v>
      </c>
      <c r="AZ956" s="107"/>
      <c r="BA956" s="94">
        <v>45659.3125</v>
      </c>
      <c r="BB956" s="94">
        <v>45659.315972222219</v>
      </c>
      <c r="BC956" s="94">
        <v>45659.328472222223</v>
      </c>
      <c r="BD956" s="94">
        <v>45659.465277777781</v>
      </c>
      <c r="BE956" s="95">
        <f t="shared" si="578"/>
        <v>0.15277777778101154</v>
      </c>
      <c r="BF956" s="95">
        <v>1.2500000000000001E-2</v>
      </c>
      <c r="BG956" s="95">
        <v>5.5555555555555558E-3</v>
      </c>
      <c r="BH956" s="95">
        <f t="shared" si="579"/>
        <v>3.4722222189884633E-3</v>
      </c>
      <c r="BI956" s="95">
        <f t="shared" si="579"/>
        <v>1.2500000004365575E-2</v>
      </c>
      <c r="BJ956" s="95">
        <f t="shared" si="579"/>
        <v>0.1368055555576575</v>
      </c>
      <c r="BK956" s="95">
        <f t="shared" si="580"/>
        <v>0.14930555556202307</v>
      </c>
      <c r="BL956" s="95">
        <f t="shared" si="581"/>
        <v>0.1312500000064675</v>
      </c>
      <c r="BM956" s="95" t="str">
        <f t="shared" si="582"/>
        <v>00:00</v>
      </c>
      <c r="BN956" s="110"/>
    </row>
    <row r="957" spans="1:66" s="8" customFormat="1" ht="12.75" customHeight="1" x14ac:dyDescent="0.25">
      <c r="A957" s="150">
        <v>878</v>
      </c>
      <c r="B957" s="150">
        <v>4</v>
      </c>
      <c r="C957" s="90">
        <v>12</v>
      </c>
      <c r="D957" s="111" t="s">
        <v>113</v>
      </c>
      <c r="E957" s="210" t="s">
        <v>985</v>
      </c>
      <c r="F957" s="150" t="s">
        <v>27</v>
      </c>
      <c r="G957" s="150" t="s">
        <v>12</v>
      </c>
      <c r="H957" s="150" t="s">
        <v>115</v>
      </c>
      <c r="I957" s="150" t="s">
        <v>1042</v>
      </c>
      <c r="J957" s="151">
        <v>45659</v>
      </c>
      <c r="K957" s="135" t="s">
        <v>117</v>
      </c>
      <c r="L957" s="135">
        <v>282001098</v>
      </c>
      <c r="M957" s="151">
        <v>45660</v>
      </c>
      <c r="N957" s="152">
        <v>45659.572916666664</v>
      </c>
      <c r="O957" s="152">
        <v>45659.572916666664</v>
      </c>
      <c r="P957" s="152">
        <v>45659.583333333336</v>
      </c>
      <c r="Q957" s="152">
        <v>45659.770833333336</v>
      </c>
      <c r="R957" s="152" t="s">
        <v>118</v>
      </c>
      <c r="S957" s="152" t="s">
        <v>118</v>
      </c>
      <c r="T957" s="152">
        <v>45659.8125</v>
      </c>
      <c r="U957" s="152">
        <v>45659.979166666664</v>
      </c>
      <c r="V957" s="219">
        <f t="shared" si="574"/>
        <v>0.19791666667151731</v>
      </c>
      <c r="W957" s="203">
        <v>0.20833333333333334</v>
      </c>
      <c r="X957" s="219" t="str">
        <f t="shared" si="575"/>
        <v>00:00</v>
      </c>
      <c r="Y957" s="96">
        <v>0</v>
      </c>
      <c r="Z957" s="96">
        <v>58</v>
      </c>
      <c r="AA957" s="96">
        <f t="shared" si="551"/>
        <v>58</v>
      </c>
      <c r="AB957" s="97">
        <f t="shared" si="552"/>
        <v>0</v>
      </c>
      <c r="AC957" s="97">
        <f t="shared" si="553"/>
        <v>4003.42</v>
      </c>
      <c r="AD957" s="98">
        <v>4003.42</v>
      </c>
      <c r="AE957" s="98">
        <v>4028.6</v>
      </c>
      <c r="AF957" s="98">
        <v>4048.4</v>
      </c>
      <c r="AG957" s="98">
        <f t="shared" si="554"/>
        <v>44.980000000000018</v>
      </c>
      <c r="AH957" s="99">
        <v>1586.7</v>
      </c>
      <c r="AI957" s="100">
        <f t="shared" si="555"/>
        <v>6423596.2800000003</v>
      </c>
      <c r="AJ957" s="100">
        <f t="shared" si="572"/>
        <v>0</v>
      </c>
      <c r="AK957" s="100">
        <v>0</v>
      </c>
      <c r="AL957" s="100">
        <v>24140</v>
      </c>
      <c r="AM957" s="100">
        <v>0</v>
      </c>
      <c r="AN957" s="100">
        <v>0</v>
      </c>
      <c r="AO957" s="100">
        <f>IFERROR(AF957*20+(((AJ957/AH957)/2)*20),0)</f>
        <v>80968</v>
      </c>
      <c r="AP957" s="100">
        <f t="shared" si="570"/>
        <v>326436</v>
      </c>
      <c r="AQ957" s="101">
        <f t="shared" si="573"/>
        <v>6855141</v>
      </c>
      <c r="AR957" s="101">
        <v>0</v>
      </c>
      <c r="AS957" s="101">
        <v>0</v>
      </c>
      <c r="AT957" s="102" t="s">
        <v>33</v>
      </c>
      <c r="AU957" s="109">
        <v>12</v>
      </c>
      <c r="AV957" s="100">
        <f>24.2-17.2</f>
        <v>7</v>
      </c>
      <c r="AW957" s="105">
        <v>0</v>
      </c>
      <c r="AX957" s="216">
        <f t="shared" si="576"/>
        <v>1.1110562197411329</v>
      </c>
      <c r="AY957" s="217">
        <f t="shared" si="577"/>
        <v>71370</v>
      </c>
      <c r="AZ957" s="107"/>
      <c r="BA957" s="94">
        <v>45659.572916666664</v>
      </c>
      <c r="BB957" s="94">
        <v>45659.583333333336</v>
      </c>
      <c r="BC957" s="94">
        <v>45659.59375</v>
      </c>
      <c r="BD957" s="94">
        <v>45659.760416666664</v>
      </c>
      <c r="BE957" s="95">
        <f t="shared" si="578"/>
        <v>0.1875</v>
      </c>
      <c r="BF957" s="95">
        <v>2.013888888888889E-2</v>
      </c>
      <c r="BG957" s="95">
        <v>5.5555555555555552E-2</v>
      </c>
      <c r="BH957" s="95">
        <f t="shared" si="579"/>
        <v>1.0416666671517305E-2</v>
      </c>
      <c r="BI957" s="95">
        <f t="shared" si="579"/>
        <v>1.0416666664241347E-2</v>
      </c>
      <c r="BJ957" s="95">
        <f t="shared" si="579"/>
        <v>0.16666666666424135</v>
      </c>
      <c r="BK957" s="95">
        <f t="shared" si="580"/>
        <v>0.17708333332848269</v>
      </c>
      <c r="BL957" s="95">
        <f t="shared" si="581"/>
        <v>0.10138888888403824</v>
      </c>
      <c r="BM957" s="95" t="str">
        <f t="shared" si="582"/>
        <v>00:00</v>
      </c>
      <c r="BN957" s="110"/>
    </row>
    <row r="958" spans="1:66" s="8" customFormat="1" ht="12.75" customHeight="1" x14ac:dyDescent="0.25">
      <c r="A958" s="150">
        <v>879</v>
      </c>
      <c r="B958" s="150">
        <v>5</v>
      </c>
      <c r="C958" s="90">
        <v>4</v>
      </c>
      <c r="D958" s="111" t="s">
        <v>148</v>
      </c>
      <c r="E958" s="210" t="s">
        <v>1040</v>
      </c>
      <c r="F958" s="150" t="s">
        <v>16</v>
      </c>
      <c r="G958" s="150" t="s">
        <v>17</v>
      </c>
      <c r="H958" s="150" t="s">
        <v>150</v>
      </c>
      <c r="I958" s="150" t="s">
        <v>492</v>
      </c>
      <c r="J958" s="151">
        <v>45659</v>
      </c>
      <c r="K958" s="135" t="s">
        <v>122</v>
      </c>
      <c r="L958" s="135">
        <v>461000642</v>
      </c>
      <c r="M958" s="151">
        <v>45660</v>
      </c>
      <c r="N958" s="152">
        <v>45659.805555555555</v>
      </c>
      <c r="O958" s="152">
        <v>45659.791666666664</v>
      </c>
      <c r="P958" s="152">
        <v>45659.8125</v>
      </c>
      <c r="Q958" s="152">
        <v>45659.958333333336</v>
      </c>
      <c r="R958" s="152">
        <v>45659.805555555555</v>
      </c>
      <c r="S958" s="152" t="s">
        <v>118</v>
      </c>
      <c r="T958" s="152">
        <v>45660.041666666664</v>
      </c>
      <c r="U958" s="152">
        <v>45660.204861111109</v>
      </c>
      <c r="V958" s="219">
        <f t="shared" si="574"/>
        <v>0.16666666667151731</v>
      </c>
      <c r="W958" s="203">
        <v>0.20833333333333334</v>
      </c>
      <c r="X958" s="219" t="str">
        <f t="shared" si="575"/>
        <v>00:00</v>
      </c>
      <c r="Y958" s="96">
        <v>0</v>
      </c>
      <c r="Z958" s="96">
        <v>59</v>
      </c>
      <c r="AA958" s="96">
        <f t="shared" si="551"/>
        <v>59</v>
      </c>
      <c r="AB958" s="97">
        <f t="shared" si="552"/>
        <v>0</v>
      </c>
      <c r="AC958" s="97">
        <f t="shared" si="553"/>
        <v>4093.1199999999994</v>
      </c>
      <c r="AD958" s="98">
        <v>4093.12</v>
      </c>
      <c r="AE958" s="98">
        <v>4103.3</v>
      </c>
      <c r="AF958" s="98">
        <v>4120.2</v>
      </c>
      <c r="AG958" s="98">
        <f t="shared" si="554"/>
        <v>27.079999999999927</v>
      </c>
      <c r="AH958" s="99">
        <v>672.5</v>
      </c>
      <c r="AI958" s="100">
        <f t="shared" si="555"/>
        <v>2770834.5</v>
      </c>
      <c r="AJ958" s="100">
        <f t="shared" si="572"/>
        <v>0</v>
      </c>
      <c r="AK958" s="100">
        <v>0</v>
      </c>
      <c r="AL958" s="100">
        <v>24290</v>
      </c>
      <c r="AM958" s="100">
        <v>0</v>
      </c>
      <c r="AN958" s="100">
        <v>0</v>
      </c>
      <c r="AO958" s="100">
        <v>0</v>
      </c>
      <c r="AP958" s="100">
        <f t="shared" si="570"/>
        <v>139757</v>
      </c>
      <c r="AQ958" s="101">
        <f t="shared" si="573"/>
        <v>2934882</v>
      </c>
      <c r="AR958" s="101">
        <v>0</v>
      </c>
      <c r="AS958" s="101">
        <v>0</v>
      </c>
      <c r="AT958" s="102" t="s">
        <v>33</v>
      </c>
      <c r="AU958" s="109">
        <v>9</v>
      </c>
      <c r="AV958" s="100">
        <f>20.15-14.15</f>
        <v>5.9999999999999982</v>
      </c>
      <c r="AW958" s="105">
        <v>0</v>
      </c>
      <c r="AX958" s="216">
        <f t="shared" si="576"/>
        <v>0.65724964807533437</v>
      </c>
      <c r="AY958" s="217">
        <f t="shared" si="577"/>
        <v>18212</v>
      </c>
      <c r="AZ958" s="107"/>
      <c r="BA958" s="94">
        <v>45659.805555555555</v>
      </c>
      <c r="BB958" s="94">
        <v>45659.8125</v>
      </c>
      <c r="BC958" s="94">
        <v>45659.815972222219</v>
      </c>
      <c r="BD958" s="94">
        <v>45659.927083333336</v>
      </c>
      <c r="BE958" s="95">
        <f t="shared" si="578"/>
        <v>0.12152777778101154</v>
      </c>
      <c r="BF958" s="95">
        <v>0</v>
      </c>
      <c r="BG958" s="95">
        <v>3.472222222222222E-3</v>
      </c>
      <c r="BH958" s="95">
        <f t="shared" si="579"/>
        <v>6.9444444452528842E-3</v>
      </c>
      <c r="BI958" s="95">
        <f t="shared" si="579"/>
        <v>3.4722222189884633E-3</v>
      </c>
      <c r="BJ958" s="95">
        <f t="shared" si="579"/>
        <v>0.11111111111677019</v>
      </c>
      <c r="BK958" s="95">
        <f t="shared" si="580"/>
        <v>0.11458333333575865</v>
      </c>
      <c r="BL958" s="95">
        <f t="shared" si="581"/>
        <v>0.11111111111353643</v>
      </c>
      <c r="BM958" s="95" t="str">
        <f t="shared" si="582"/>
        <v>00:00</v>
      </c>
      <c r="BN958" s="110"/>
    </row>
    <row r="959" spans="1:66" s="8" customFormat="1" ht="12.75" customHeight="1" x14ac:dyDescent="0.25">
      <c r="A959" s="150">
        <v>880</v>
      </c>
      <c r="B959" s="150">
        <v>6</v>
      </c>
      <c r="C959" s="90">
        <v>10</v>
      </c>
      <c r="D959" s="111" t="s">
        <v>113</v>
      </c>
      <c r="E959" s="210" t="s">
        <v>996</v>
      </c>
      <c r="F959" s="150" t="s">
        <v>29</v>
      </c>
      <c r="G959" s="150" t="s">
        <v>15</v>
      </c>
      <c r="H959" s="150" t="s">
        <v>124</v>
      </c>
      <c r="I959" s="150" t="s">
        <v>1043</v>
      </c>
      <c r="J959" s="151">
        <v>45659</v>
      </c>
      <c r="K959" s="135" t="s">
        <v>117</v>
      </c>
      <c r="L959" s="135">
        <v>461000643</v>
      </c>
      <c r="M959" s="151">
        <v>45660</v>
      </c>
      <c r="N959" s="152">
        <v>45660.0625</v>
      </c>
      <c r="O959" s="152">
        <v>45660.0625</v>
      </c>
      <c r="P959" s="152">
        <v>45660.069444444445</v>
      </c>
      <c r="Q959" s="152">
        <v>45660.229166666664</v>
      </c>
      <c r="R959" s="152" t="s">
        <v>118</v>
      </c>
      <c r="S959" s="152" t="s">
        <v>118</v>
      </c>
      <c r="T959" s="152">
        <v>45660.270833333336</v>
      </c>
      <c r="U959" s="152">
        <v>45660.363888888889</v>
      </c>
      <c r="V959" s="219">
        <f t="shared" si="574"/>
        <v>0.16666666666424135</v>
      </c>
      <c r="W959" s="203">
        <v>0.20833333333333334</v>
      </c>
      <c r="X959" s="219" t="str">
        <f t="shared" si="575"/>
        <v>00:00</v>
      </c>
      <c r="Y959" s="96">
        <v>0</v>
      </c>
      <c r="Z959" s="96">
        <v>59</v>
      </c>
      <c r="AA959" s="96">
        <f t="shared" si="551"/>
        <v>59</v>
      </c>
      <c r="AB959" s="97">
        <f t="shared" si="552"/>
        <v>0</v>
      </c>
      <c r="AC959" s="97">
        <f t="shared" si="553"/>
        <v>4007.69</v>
      </c>
      <c r="AD959" s="98">
        <v>4007.69</v>
      </c>
      <c r="AE959" s="98">
        <v>4090.7</v>
      </c>
      <c r="AF959" s="98">
        <v>4093.2</v>
      </c>
      <c r="AG959" s="98">
        <f t="shared" si="554"/>
        <v>85.509999999999764</v>
      </c>
      <c r="AH959" s="99">
        <v>797.2</v>
      </c>
      <c r="AI959" s="100">
        <f t="shared" si="555"/>
        <v>3263099.04</v>
      </c>
      <c r="AJ959" s="100">
        <f t="shared" si="572"/>
        <v>0</v>
      </c>
      <c r="AK959" s="100">
        <v>0</v>
      </c>
      <c r="AL959" s="100">
        <v>0</v>
      </c>
      <c r="AM959" s="100">
        <v>0</v>
      </c>
      <c r="AN959" s="100">
        <v>0</v>
      </c>
      <c r="AO959" s="100">
        <v>0</v>
      </c>
      <c r="AP959" s="100">
        <f t="shared" si="570"/>
        <v>163155</v>
      </c>
      <c r="AQ959" s="101">
        <f t="shared" si="573"/>
        <v>3426255</v>
      </c>
      <c r="AR959" s="101">
        <v>0</v>
      </c>
      <c r="AS959" s="101">
        <v>0</v>
      </c>
      <c r="AT959" s="102" t="s">
        <v>33</v>
      </c>
      <c r="AU959" s="109" t="s">
        <v>118</v>
      </c>
      <c r="AV959" s="100">
        <v>0</v>
      </c>
      <c r="AW959" s="105">
        <v>0</v>
      </c>
      <c r="AX959" s="216">
        <f t="shared" si="576"/>
        <v>2.0890745626893326</v>
      </c>
      <c r="AY959" s="217">
        <f t="shared" si="577"/>
        <v>68169</v>
      </c>
      <c r="AZ959" s="107"/>
      <c r="BA959" s="94">
        <v>45660.0625</v>
      </c>
      <c r="BB959" s="94">
        <v>45660.069444444445</v>
      </c>
      <c r="BC959" s="94">
        <v>45660.069444444445</v>
      </c>
      <c r="BD959" s="94">
        <v>45660.208333333336</v>
      </c>
      <c r="BE959" s="95">
        <f t="shared" si="578"/>
        <v>0.14583333333575865</v>
      </c>
      <c r="BF959" s="95">
        <v>0</v>
      </c>
      <c r="BG959" s="95">
        <v>3.8194444444444448E-2</v>
      </c>
      <c r="BH959" s="95">
        <f t="shared" si="579"/>
        <v>6.9444444452528842E-3</v>
      </c>
      <c r="BI959" s="95">
        <f t="shared" si="579"/>
        <v>0</v>
      </c>
      <c r="BJ959" s="95">
        <f t="shared" si="579"/>
        <v>0.13888888889050577</v>
      </c>
      <c r="BK959" s="95">
        <f t="shared" si="580"/>
        <v>0.13888888889050577</v>
      </c>
      <c r="BL959" s="95">
        <f t="shared" si="581"/>
        <v>0.10069444444606132</v>
      </c>
      <c r="BM959" s="95" t="str">
        <f t="shared" si="582"/>
        <v>00:00</v>
      </c>
      <c r="BN959" s="110"/>
    </row>
    <row r="960" spans="1:66" s="8" customFormat="1" ht="12.75" customHeight="1" x14ac:dyDescent="0.25">
      <c r="A960" s="150">
        <v>881</v>
      </c>
      <c r="B960" s="150">
        <v>7</v>
      </c>
      <c r="C960" s="90">
        <v>5</v>
      </c>
      <c r="D960" s="111" t="s">
        <v>148</v>
      </c>
      <c r="E960" s="210" t="s">
        <v>1040</v>
      </c>
      <c r="F960" s="150" t="s">
        <v>16</v>
      </c>
      <c r="G960" s="150" t="s">
        <v>17</v>
      </c>
      <c r="H960" s="150" t="s">
        <v>150</v>
      </c>
      <c r="I960" s="150" t="s">
        <v>495</v>
      </c>
      <c r="J960" s="151">
        <v>45659</v>
      </c>
      <c r="K960" s="135" t="s">
        <v>122</v>
      </c>
      <c r="L960" s="135">
        <v>461000644</v>
      </c>
      <c r="M960" s="151">
        <v>45660</v>
      </c>
      <c r="N960" s="152">
        <v>45660.604166666664</v>
      </c>
      <c r="O960" s="152">
        <v>45660.604166666664</v>
      </c>
      <c r="P960" s="152">
        <v>45660.611111111109</v>
      </c>
      <c r="Q960" s="152">
        <v>45660.760416666664</v>
      </c>
      <c r="R960" s="152" t="s">
        <v>118</v>
      </c>
      <c r="S960" s="152" t="s">
        <v>118</v>
      </c>
      <c r="T960" s="152">
        <v>45660.8125</v>
      </c>
      <c r="U960" s="152">
        <v>45660.916666666664</v>
      </c>
      <c r="V960" s="219">
        <f t="shared" si="574"/>
        <v>0.15625</v>
      </c>
      <c r="W960" s="203">
        <v>0.20833333333333334</v>
      </c>
      <c r="X960" s="219" t="str">
        <f t="shared" si="575"/>
        <v>00:00</v>
      </c>
      <c r="Y960" s="96">
        <v>0</v>
      </c>
      <c r="Z960" s="96">
        <v>58</v>
      </c>
      <c r="AA960" s="96">
        <f t="shared" si="551"/>
        <v>58</v>
      </c>
      <c r="AB960" s="97">
        <f t="shared" si="552"/>
        <v>0</v>
      </c>
      <c r="AC960" s="97">
        <f t="shared" si="553"/>
        <v>3996.46</v>
      </c>
      <c r="AD960" s="98">
        <v>3996.46</v>
      </c>
      <c r="AE960" s="98">
        <v>4032.7</v>
      </c>
      <c r="AF960" s="98">
        <v>4040.4</v>
      </c>
      <c r="AG960" s="98">
        <f t="shared" si="554"/>
        <v>43.940000000000055</v>
      </c>
      <c r="AH960" s="99">
        <v>672.5</v>
      </c>
      <c r="AI960" s="100">
        <f t="shared" si="555"/>
        <v>2717169</v>
      </c>
      <c r="AJ960" s="100">
        <f t="shared" si="572"/>
        <v>0</v>
      </c>
      <c r="AK960" s="100">
        <v>0</v>
      </c>
      <c r="AL960" s="100">
        <v>39580</v>
      </c>
      <c r="AM960" s="100">
        <v>0</v>
      </c>
      <c r="AN960" s="100">
        <v>0</v>
      </c>
      <c r="AO960" s="100">
        <v>0</v>
      </c>
      <c r="AP960" s="100">
        <f t="shared" si="570"/>
        <v>137838</v>
      </c>
      <c r="AQ960" s="101">
        <f t="shared" si="573"/>
        <v>2894587</v>
      </c>
      <c r="AR960" s="101">
        <v>0</v>
      </c>
      <c r="AS960" s="101">
        <v>0</v>
      </c>
      <c r="AT960" s="102" t="s">
        <v>33</v>
      </c>
      <c r="AU960" s="109">
        <v>4</v>
      </c>
      <c r="AV960" s="100">
        <f>8.87-6.37</f>
        <v>2.4999999999999991</v>
      </c>
      <c r="AW960" s="105">
        <v>0</v>
      </c>
      <c r="AX960" s="216">
        <f t="shared" si="576"/>
        <v>1.0875160875160887</v>
      </c>
      <c r="AY960" s="217">
        <f t="shared" si="577"/>
        <v>29550</v>
      </c>
      <c r="AZ960" s="107"/>
      <c r="BA960" s="94">
        <v>45660.604166666664</v>
      </c>
      <c r="BB960" s="94">
        <v>45660.611111111109</v>
      </c>
      <c r="BC960" s="94">
        <v>45660.611111111109</v>
      </c>
      <c r="BD960" s="94">
        <v>45660.740277777775</v>
      </c>
      <c r="BE960" s="95">
        <f t="shared" si="578"/>
        <v>0.13611111111094942</v>
      </c>
      <c r="BF960" s="95">
        <v>1.6666666666666666E-2</v>
      </c>
      <c r="BG960" s="95">
        <v>0</v>
      </c>
      <c r="BH960" s="95">
        <f t="shared" si="579"/>
        <v>6.9444444452528842E-3</v>
      </c>
      <c r="BI960" s="95">
        <f t="shared" si="579"/>
        <v>0</v>
      </c>
      <c r="BJ960" s="95">
        <f t="shared" si="579"/>
        <v>0.12916666666569654</v>
      </c>
      <c r="BK960" s="95">
        <f t="shared" si="580"/>
        <v>0.12916666666569654</v>
      </c>
      <c r="BL960" s="95">
        <f t="shared" si="581"/>
        <v>0.11249999999902988</v>
      </c>
      <c r="BM960" s="95" t="str">
        <f t="shared" si="582"/>
        <v>00:00</v>
      </c>
      <c r="BN960" s="110"/>
    </row>
    <row r="961" spans="1:66" s="8" customFormat="1" ht="12.75" customHeight="1" x14ac:dyDescent="0.25">
      <c r="A961" s="150">
        <v>882</v>
      </c>
      <c r="B961" s="150">
        <v>8</v>
      </c>
      <c r="C961" s="90">
        <v>6</v>
      </c>
      <c r="D961" s="111" t="s">
        <v>148</v>
      </c>
      <c r="E961" s="210" t="s">
        <v>1040</v>
      </c>
      <c r="F961" s="150" t="s">
        <v>16</v>
      </c>
      <c r="G961" s="150" t="s">
        <v>17</v>
      </c>
      <c r="H961" s="150" t="s">
        <v>150</v>
      </c>
      <c r="I961" s="150" t="s">
        <v>498</v>
      </c>
      <c r="J961" s="151">
        <v>45660</v>
      </c>
      <c r="K961" s="135" t="s">
        <v>117</v>
      </c>
      <c r="L961" s="135">
        <v>461000645</v>
      </c>
      <c r="M961" s="151">
        <v>45661</v>
      </c>
      <c r="N961" s="152">
        <v>45660.729166666664</v>
      </c>
      <c r="O961" s="152">
        <v>45660.729166666664</v>
      </c>
      <c r="P961" s="152">
        <v>45660.732638888891</v>
      </c>
      <c r="Q961" s="152">
        <v>45660.927083333336</v>
      </c>
      <c r="R961" s="152" t="s">
        <v>118</v>
      </c>
      <c r="S961" s="152" t="s">
        <v>118</v>
      </c>
      <c r="T961" s="152">
        <v>45661.041666666664</v>
      </c>
      <c r="U961" s="152">
        <v>45661.201388888891</v>
      </c>
      <c r="V961" s="219">
        <f t="shared" si="574"/>
        <v>0.19791666667151731</v>
      </c>
      <c r="W961" s="203">
        <v>0.20833333333333334</v>
      </c>
      <c r="X961" s="219" t="str">
        <f t="shared" si="575"/>
        <v>00:00</v>
      </c>
      <c r="Y961" s="96">
        <v>0</v>
      </c>
      <c r="Z961" s="96">
        <v>58</v>
      </c>
      <c r="AA961" s="96">
        <f t="shared" si="551"/>
        <v>58</v>
      </c>
      <c r="AB961" s="97">
        <f t="shared" si="552"/>
        <v>0</v>
      </c>
      <c r="AC961" s="97">
        <f t="shared" si="553"/>
        <v>4052.3899999999994</v>
      </c>
      <c r="AD961" s="98">
        <v>4052.39</v>
      </c>
      <c r="AE961" s="98">
        <v>4045.4</v>
      </c>
      <c r="AF961" s="98">
        <v>4073.2</v>
      </c>
      <c r="AG961" s="98">
        <f t="shared" si="554"/>
        <v>20.809999999999945</v>
      </c>
      <c r="AH961" s="99">
        <v>672.5</v>
      </c>
      <c r="AI961" s="100">
        <f t="shared" si="555"/>
        <v>2739227</v>
      </c>
      <c r="AJ961" s="100">
        <f t="shared" si="572"/>
        <v>0</v>
      </c>
      <c r="AK961" s="100">
        <v>0</v>
      </c>
      <c r="AL961" s="100">
        <v>24140</v>
      </c>
      <c r="AM961" s="100">
        <v>0</v>
      </c>
      <c r="AN961" s="100">
        <v>0</v>
      </c>
      <c r="AO961" s="100">
        <v>0</v>
      </c>
      <c r="AP961" s="100">
        <f t="shared" si="570"/>
        <v>138169</v>
      </c>
      <c r="AQ961" s="101">
        <f t="shared" si="573"/>
        <v>2901536</v>
      </c>
      <c r="AR961" s="101">
        <v>0</v>
      </c>
      <c r="AS961" s="101">
        <v>0</v>
      </c>
      <c r="AT961" s="102" t="s">
        <v>33</v>
      </c>
      <c r="AU961" s="109">
        <v>18</v>
      </c>
      <c r="AV961" s="100">
        <f>33.94-23.44</f>
        <v>10.499999999999996</v>
      </c>
      <c r="AW961" s="105">
        <v>0</v>
      </c>
      <c r="AX961" s="216">
        <f t="shared" si="576"/>
        <v>0.51090052047530066</v>
      </c>
      <c r="AY961" s="217">
        <f t="shared" si="577"/>
        <v>13995</v>
      </c>
      <c r="AZ961" s="107"/>
      <c r="BA961" s="94">
        <v>45660.729166666664</v>
      </c>
      <c r="BB961" s="94">
        <v>45660.732638888891</v>
      </c>
      <c r="BC961" s="94">
        <v>45660.745138888888</v>
      </c>
      <c r="BD961" s="94">
        <v>45660.884722222225</v>
      </c>
      <c r="BE961" s="95">
        <f t="shared" si="578"/>
        <v>0.15555555556056788</v>
      </c>
      <c r="BF961" s="95">
        <v>0</v>
      </c>
      <c r="BG961" s="95">
        <v>1.6666666666666666E-2</v>
      </c>
      <c r="BH961" s="95">
        <f t="shared" si="579"/>
        <v>3.4722222262644209E-3</v>
      </c>
      <c r="BI961" s="95">
        <f t="shared" si="579"/>
        <v>1.2499999997089617E-2</v>
      </c>
      <c r="BJ961" s="95">
        <f t="shared" si="579"/>
        <v>0.13958333333721384</v>
      </c>
      <c r="BK961" s="95">
        <f t="shared" si="580"/>
        <v>0.15208333333430346</v>
      </c>
      <c r="BL961" s="95">
        <f t="shared" si="581"/>
        <v>0.1354166666676368</v>
      </c>
      <c r="BM961" s="95" t="str">
        <f t="shared" si="582"/>
        <v>00:00</v>
      </c>
      <c r="BN961" s="110"/>
    </row>
    <row r="962" spans="1:66" s="8" customFormat="1" ht="12.75" customHeight="1" x14ac:dyDescent="0.25">
      <c r="A962" s="150">
        <v>883</v>
      </c>
      <c r="B962" s="150">
        <v>9</v>
      </c>
      <c r="C962" s="90">
        <v>7</v>
      </c>
      <c r="D962" s="111" t="s">
        <v>148</v>
      </c>
      <c r="E962" s="210" t="s">
        <v>1040</v>
      </c>
      <c r="F962" s="150" t="s">
        <v>16</v>
      </c>
      <c r="G962" s="150" t="s">
        <v>17</v>
      </c>
      <c r="H962" s="150" t="s">
        <v>150</v>
      </c>
      <c r="I962" s="150" t="s">
        <v>499</v>
      </c>
      <c r="J962" s="151">
        <v>45660</v>
      </c>
      <c r="K962" s="135" t="s">
        <v>122</v>
      </c>
      <c r="L962" s="135">
        <v>461000646</v>
      </c>
      <c r="M962" s="151">
        <v>45661</v>
      </c>
      <c r="N962" s="152">
        <v>45661.166666666664</v>
      </c>
      <c r="O962" s="152">
        <v>45661.166666666664</v>
      </c>
      <c r="P962" s="152">
        <v>45661.170138888891</v>
      </c>
      <c r="Q962" s="152">
        <v>45661.333333333336</v>
      </c>
      <c r="R962" s="152" t="s">
        <v>118</v>
      </c>
      <c r="S962" s="152" t="s">
        <v>118</v>
      </c>
      <c r="T962" s="152">
        <v>45661.416666666664</v>
      </c>
      <c r="U962" s="152">
        <v>45661.468055555553</v>
      </c>
      <c r="V962" s="219">
        <f t="shared" si="574"/>
        <v>0.16666666667151731</v>
      </c>
      <c r="W962" s="203">
        <v>0.20833333333333334</v>
      </c>
      <c r="X962" s="219" t="str">
        <f t="shared" si="575"/>
        <v>00:00</v>
      </c>
      <c r="Y962" s="96">
        <v>0</v>
      </c>
      <c r="Z962" s="96">
        <v>58</v>
      </c>
      <c r="AA962" s="96">
        <f t="shared" si="551"/>
        <v>58</v>
      </c>
      <c r="AB962" s="97">
        <f t="shared" si="552"/>
        <v>0</v>
      </c>
      <c r="AC962" s="97">
        <f t="shared" si="553"/>
        <v>4005.4400000000005</v>
      </c>
      <c r="AD962" s="98">
        <v>4005.44</v>
      </c>
      <c r="AE962" s="98">
        <v>4033.6</v>
      </c>
      <c r="AF962" s="98">
        <v>4044.6</v>
      </c>
      <c r="AG962" s="98">
        <f t="shared" si="554"/>
        <v>39.159999999999854</v>
      </c>
      <c r="AH962" s="99">
        <v>672.5</v>
      </c>
      <c r="AI962" s="100">
        <f t="shared" si="555"/>
        <v>2719993.5</v>
      </c>
      <c r="AJ962" s="100">
        <f>(2*AH962)*2</f>
        <v>2690</v>
      </c>
      <c r="AK962" s="100">
        <v>0</v>
      </c>
      <c r="AL962" s="100">
        <v>0</v>
      </c>
      <c r="AM962" s="100">
        <v>0</v>
      </c>
      <c r="AN962" s="100">
        <v>0</v>
      </c>
      <c r="AO962" s="100">
        <v>0</v>
      </c>
      <c r="AP962" s="100">
        <f t="shared" si="570"/>
        <v>136135</v>
      </c>
      <c r="AQ962" s="101">
        <f t="shared" si="573"/>
        <v>2858819</v>
      </c>
      <c r="AR962" s="101">
        <v>0</v>
      </c>
      <c r="AS962" s="101">
        <v>0</v>
      </c>
      <c r="AT962" s="102" t="s">
        <v>33</v>
      </c>
      <c r="AU962" s="109" t="s">
        <v>118</v>
      </c>
      <c r="AV962" s="100">
        <v>0</v>
      </c>
      <c r="AW962" s="105">
        <v>0</v>
      </c>
      <c r="AX962" s="216">
        <f t="shared" si="576"/>
        <v>0.96820451960638509</v>
      </c>
      <c r="AY962" s="217">
        <f t="shared" si="577"/>
        <v>26336</v>
      </c>
      <c r="AZ962" s="107"/>
      <c r="BA962" s="94">
        <v>45661.166666666664</v>
      </c>
      <c r="BB962" s="94">
        <v>45661.170138888891</v>
      </c>
      <c r="BC962" s="94">
        <v>45661.170138888891</v>
      </c>
      <c r="BD962" s="94">
        <v>45661.286805555559</v>
      </c>
      <c r="BE962" s="95">
        <f t="shared" si="578"/>
        <v>0.12013888889487134</v>
      </c>
      <c r="BF962" s="95">
        <v>0</v>
      </c>
      <c r="BG962" s="95">
        <v>0</v>
      </c>
      <c r="BH962" s="95">
        <f t="shared" si="579"/>
        <v>3.4722222262644209E-3</v>
      </c>
      <c r="BI962" s="95">
        <f t="shared" si="579"/>
        <v>0</v>
      </c>
      <c r="BJ962" s="95">
        <f t="shared" si="579"/>
        <v>0.11666666666860692</v>
      </c>
      <c r="BK962" s="95">
        <f t="shared" si="580"/>
        <v>0.11666666666860692</v>
      </c>
      <c r="BL962" s="95">
        <f t="shared" si="581"/>
        <v>0.11666666666860692</v>
      </c>
      <c r="BM962" s="95" t="str">
        <f t="shared" si="582"/>
        <v>00:00</v>
      </c>
      <c r="BN962" s="110"/>
    </row>
    <row r="963" spans="1:66" s="8" customFormat="1" ht="12.75" customHeight="1" x14ac:dyDescent="0.25">
      <c r="A963" s="150">
        <v>884</v>
      </c>
      <c r="B963" s="150">
        <v>10</v>
      </c>
      <c r="C963" s="90">
        <v>11</v>
      </c>
      <c r="D963" s="111" t="s">
        <v>113</v>
      </c>
      <c r="E963" s="210" t="s">
        <v>996</v>
      </c>
      <c r="F963" s="150" t="s">
        <v>29</v>
      </c>
      <c r="G963" s="150" t="s">
        <v>15</v>
      </c>
      <c r="H963" s="150" t="s">
        <v>124</v>
      </c>
      <c r="I963" s="150" t="s">
        <v>1044</v>
      </c>
      <c r="J963" s="151">
        <v>45660</v>
      </c>
      <c r="K963" s="135" t="s">
        <v>117</v>
      </c>
      <c r="L963" s="135">
        <v>461000647</v>
      </c>
      <c r="M963" s="151">
        <v>45661</v>
      </c>
      <c r="N963" s="152">
        <v>45661.402777777781</v>
      </c>
      <c r="O963" s="152">
        <v>45661.402777777781</v>
      </c>
      <c r="P963" s="152">
        <v>45661.40625</v>
      </c>
      <c r="Q963" s="152">
        <v>45661.604166666664</v>
      </c>
      <c r="R963" s="152" t="s">
        <v>118</v>
      </c>
      <c r="S963" s="152" t="s">
        <v>118</v>
      </c>
      <c r="T963" s="152">
        <v>45661.652083333334</v>
      </c>
      <c r="U963" s="152">
        <v>45661.770833333336</v>
      </c>
      <c r="V963" s="219">
        <f t="shared" si="574"/>
        <v>0.20138888888322981</v>
      </c>
      <c r="W963" s="203">
        <v>0.20833333333333334</v>
      </c>
      <c r="X963" s="219" t="str">
        <f t="shared" si="575"/>
        <v>00:00</v>
      </c>
      <c r="Y963" s="96">
        <v>0</v>
      </c>
      <c r="Z963" s="96">
        <v>59</v>
      </c>
      <c r="AA963" s="96">
        <f t="shared" si="551"/>
        <v>59</v>
      </c>
      <c r="AB963" s="97">
        <f t="shared" si="552"/>
        <v>0</v>
      </c>
      <c r="AC963" s="97">
        <f t="shared" si="553"/>
        <v>4043.84</v>
      </c>
      <c r="AD963" s="98">
        <v>4043.84</v>
      </c>
      <c r="AE963" s="98">
        <v>4105.8999999999996</v>
      </c>
      <c r="AF963" s="98">
        <v>4125.3999999999996</v>
      </c>
      <c r="AG963" s="98">
        <f t="shared" si="554"/>
        <v>81.559999999999491</v>
      </c>
      <c r="AH963" s="99">
        <v>797.2</v>
      </c>
      <c r="AI963" s="100">
        <f t="shared" si="555"/>
        <v>3288768.88</v>
      </c>
      <c r="AJ963" s="100">
        <f>(0*AH963)*2</f>
        <v>0</v>
      </c>
      <c r="AK963" s="100">
        <v>0</v>
      </c>
      <c r="AL963" s="100">
        <v>24290</v>
      </c>
      <c r="AM963" s="100">
        <v>0</v>
      </c>
      <c r="AN963" s="100">
        <v>0</v>
      </c>
      <c r="AO963" s="100">
        <v>0</v>
      </c>
      <c r="AP963" s="100">
        <f t="shared" si="570"/>
        <v>165653</v>
      </c>
      <c r="AQ963" s="101">
        <f t="shared" si="573"/>
        <v>3478712</v>
      </c>
      <c r="AR963" s="101">
        <v>0</v>
      </c>
      <c r="AS963" s="101">
        <v>0</v>
      </c>
      <c r="AT963" s="102" t="s">
        <v>33</v>
      </c>
      <c r="AU963" s="109">
        <v>10</v>
      </c>
      <c r="AV963" s="100">
        <f>26.05-17.55</f>
        <v>8.5</v>
      </c>
      <c r="AW963" s="105">
        <v>0</v>
      </c>
      <c r="AX963" s="216">
        <f t="shared" si="576"/>
        <v>1.9770204101420348</v>
      </c>
      <c r="AY963" s="217">
        <f t="shared" si="577"/>
        <v>65020</v>
      </c>
      <c r="AZ963" s="107"/>
      <c r="BA963" s="94">
        <v>45661.402777777781</v>
      </c>
      <c r="BB963" s="94">
        <v>45661.40625</v>
      </c>
      <c r="BC963" s="94">
        <v>45661.426388888889</v>
      </c>
      <c r="BD963" s="94">
        <v>45661.600694444445</v>
      </c>
      <c r="BE963" s="95">
        <f t="shared" si="578"/>
        <v>0.19791666666424135</v>
      </c>
      <c r="BF963" s="95">
        <v>2.013888888888889E-2</v>
      </c>
      <c r="BG963" s="95">
        <v>6.458333333333334E-2</v>
      </c>
      <c r="BH963" s="95">
        <f t="shared" si="579"/>
        <v>3.4722222189884633E-3</v>
      </c>
      <c r="BI963" s="95">
        <f t="shared" si="579"/>
        <v>2.0138888889050577E-2</v>
      </c>
      <c r="BJ963" s="95">
        <f t="shared" si="579"/>
        <v>0.17430555555620231</v>
      </c>
      <c r="BK963" s="95">
        <f t="shared" si="580"/>
        <v>0.19444444444525288</v>
      </c>
      <c r="BL963" s="95">
        <f t="shared" si="581"/>
        <v>0.10972222222303064</v>
      </c>
      <c r="BM963" s="95" t="str">
        <f t="shared" si="582"/>
        <v>00:00</v>
      </c>
      <c r="BN963" s="110"/>
    </row>
    <row r="964" spans="1:66" s="8" customFormat="1" ht="12.75" customHeight="1" x14ac:dyDescent="0.25">
      <c r="A964" s="150">
        <v>885</v>
      </c>
      <c r="B964" s="150">
        <v>11</v>
      </c>
      <c r="C964" s="90">
        <v>8</v>
      </c>
      <c r="D964" s="111" t="s">
        <v>148</v>
      </c>
      <c r="E964" s="210" t="s">
        <v>1040</v>
      </c>
      <c r="F964" s="150" t="s">
        <v>16</v>
      </c>
      <c r="G964" s="150" t="s">
        <v>17</v>
      </c>
      <c r="H964" s="150" t="s">
        <v>150</v>
      </c>
      <c r="I964" s="150" t="s">
        <v>500</v>
      </c>
      <c r="J964" s="151">
        <v>45660</v>
      </c>
      <c r="K964" s="135" t="s">
        <v>122</v>
      </c>
      <c r="L964" s="135">
        <v>461000648</v>
      </c>
      <c r="M964" s="151">
        <v>45662</v>
      </c>
      <c r="N964" s="152">
        <v>45661.614583333336</v>
      </c>
      <c r="O964" s="152">
        <v>45661.614583333336</v>
      </c>
      <c r="P964" s="152">
        <v>45661.631944444445</v>
      </c>
      <c r="Q964" s="152">
        <v>45661.78125</v>
      </c>
      <c r="R964" s="152" t="s">
        <v>118</v>
      </c>
      <c r="S964" s="152" t="s">
        <v>118</v>
      </c>
      <c r="T964" s="152">
        <v>45661.9375</v>
      </c>
      <c r="U964" s="152">
        <v>45662.080555555556</v>
      </c>
      <c r="V964" s="219">
        <f t="shared" si="574"/>
        <v>0.16666666666424135</v>
      </c>
      <c r="W964" s="203">
        <v>0.20833333333333334</v>
      </c>
      <c r="X964" s="219" t="str">
        <f t="shared" si="575"/>
        <v>00:00</v>
      </c>
      <c r="Y964" s="96">
        <v>0</v>
      </c>
      <c r="Z964" s="96">
        <v>56</v>
      </c>
      <c r="AA964" s="96">
        <f t="shared" si="551"/>
        <v>56</v>
      </c>
      <c r="AB964" s="97">
        <f t="shared" si="552"/>
        <v>0</v>
      </c>
      <c r="AC964" s="97">
        <f t="shared" si="553"/>
        <v>3882.2800000000007</v>
      </c>
      <c r="AD964" s="98">
        <v>3882.28</v>
      </c>
      <c r="AE964" s="98">
        <v>3885.6</v>
      </c>
      <c r="AF964" s="98">
        <v>3911.6</v>
      </c>
      <c r="AG964" s="98">
        <f t="shared" si="554"/>
        <v>29.319999999999709</v>
      </c>
      <c r="AH964" s="99">
        <v>672.5</v>
      </c>
      <c r="AI964" s="100">
        <f t="shared" si="555"/>
        <v>2630551</v>
      </c>
      <c r="AJ964" s="100">
        <f>(0*AH964)*2</f>
        <v>0</v>
      </c>
      <c r="AK964" s="100">
        <v>0</v>
      </c>
      <c r="AL964" s="100">
        <v>23840</v>
      </c>
      <c r="AM964" s="100">
        <v>0</v>
      </c>
      <c r="AN964" s="100">
        <v>0</v>
      </c>
      <c r="AO964" s="100">
        <v>0</v>
      </c>
      <c r="AP964" s="100">
        <f t="shared" si="570"/>
        <v>132720</v>
      </c>
      <c r="AQ964" s="101">
        <f t="shared" si="573"/>
        <v>2787111</v>
      </c>
      <c r="AR964" s="101">
        <v>0</v>
      </c>
      <c r="AS964" s="101">
        <v>0</v>
      </c>
      <c r="AT964" s="102" t="s">
        <v>33</v>
      </c>
      <c r="AU964" s="109">
        <v>13</v>
      </c>
      <c r="AV964" s="100">
        <f>32.99-22.99</f>
        <v>10.000000000000004</v>
      </c>
      <c r="AW964" s="105">
        <v>0</v>
      </c>
      <c r="AX964" s="216">
        <f t="shared" si="576"/>
        <v>0.74956539523467913</v>
      </c>
      <c r="AY964" s="217">
        <f t="shared" si="577"/>
        <v>19718</v>
      </c>
      <c r="AZ964" s="107"/>
      <c r="BA964" s="94">
        <v>45661.614583333336</v>
      </c>
      <c r="BB964" s="94">
        <v>45661.631944444445</v>
      </c>
      <c r="BC964" s="94">
        <v>45661.631944444445</v>
      </c>
      <c r="BD964" s="94">
        <v>45661.748611111114</v>
      </c>
      <c r="BE964" s="95">
        <f t="shared" si="578"/>
        <v>0.13402777777810115</v>
      </c>
      <c r="BF964" s="95">
        <v>0</v>
      </c>
      <c r="BG964" s="95">
        <v>5.5555555555555558E-3</v>
      </c>
      <c r="BH964" s="95">
        <f t="shared" si="579"/>
        <v>1.7361111109494232E-2</v>
      </c>
      <c r="BI964" s="95">
        <f t="shared" si="579"/>
        <v>0</v>
      </c>
      <c r="BJ964" s="95">
        <f t="shared" si="579"/>
        <v>0.11666666666860692</v>
      </c>
      <c r="BK964" s="95">
        <f t="shared" si="580"/>
        <v>0.11666666666860692</v>
      </c>
      <c r="BL964" s="95">
        <f t="shared" si="581"/>
        <v>0.11111111111305137</v>
      </c>
      <c r="BM964" s="95" t="str">
        <f t="shared" si="582"/>
        <v>00:00</v>
      </c>
      <c r="BN964" s="110"/>
    </row>
    <row r="965" spans="1:66" s="8" customFormat="1" ht="12.75" customHeight="1" x14ac:dyDescent="0.25">
      <c r="A965" s="150">
        <v>886</v>
      </c>
      <c r="B965" s="150">
        <v>12</v>
      </c>
      <c r="C965" s="90">
        <v>3</v>
      </c>
      <c r="D965" s="111" t="s">
        <v>113</v>
      </c>
      <c r="E965" s="210" t="s">
        <v>1024</v>
      </c>
      <c r="F965" s="150" t="s">
        <v>32</v>
      </c>
      <c r="G965" s="150" t="s">
        <v>15</v>
      </c>
      <c r="H965" s="150" t="s">
        <v>146</v>
      </c>
      <c r="I965" s="150" t="s">
        <v>590</v>
      </c>
      <c r="J965" s="151">
        <v>45661</v>
      </c>
      <c r="K965" s="135" t="s">
        <v>117</v>
      </c>
      <c r="L965" s="135">
        <v>261006165</v>
      </c>
      <c r="M965" s="151">
        <v>45662</v>
      </c>
      <c r="N965" s="152">
        <v>45661.8125</v>
      </c>
      <c r="O965" s="152">
        <v>45661.8125</v>
      </c>
      <c r="P965" s="152">
        <v>45661.822916666664</v>
      </c>
      <c r="Q965" s="152">
        <v>45661.989583333336</v>
      </c>
      <c r="R965" s="152" t="s">
        <v>118</v>
      </c>
      <c r="S965" s="152" t="s">
        <v>118</v>
      </c>
      <c r="T965" s="152">
        <v>45662.083333333336</v>
      </c>
      <c r="U965" s="152">
        <v>45662.17083333333</v>
      </c>
      <c r="V965" s="219">
        <f t="shared" si="574"/>
        <v>0.17708333333575865</v>
      </c>
      <c r="W965" s="203">
        <v>0.20833333333333334</v>
      </c>
      <c r="X965" s="219" t="str">
        <f t="shared" si="575"/>
        <v>00:00</v>
      </c>
      <c r="Y965" s="96">
        <v>0</v>
      </c>
      <c r="Z965" s="96">
        <v>58</v>
      </c>
      <c r="AA965" s="96">
        <f t="shared" si="551"/>
        <v>58</v>
      </c>
      <c r="AB965" s="97">
        <f t="shared" si="552"/>
        <v>0</v>
      </c>
      <c r="AC965" s="97">
        <f t="shared" si="553"/>
        <v>3964.31</v>
      </c>
      <c r="AD965" s="98">
        <v>3964.31</v>
      </c>
      <c r="AE965" s="98">
        <v>4029.8</v>
      </c>
      <c r="AF965" s="98">
        <v>4034.2</v>
      </c>
      <c r="AG965" s="98">
        <f t="shared" si="554"/>
        <v>69.889999999999873</v>
      </c>
      <c r="AH965" s="99">
        <v>1398.7</v>
      </c>
      <c r="AI965" s="100">
        <f t="shared" si="555"/>
        <v>5642635.54</v>
      </c>
      <c r="AJ965" s="100">
        <f>(0.4*AH965)*2</f>
        <v>1118.96</v>
      </c>
      <c r="AK965" s="100">
        <v>0</v>
      </c>
      <c r="AL965" s="100">
        <v>0</v>
      </c>
      <c r="AM965" s="100">
        <v>0</v>
      </c>
      <c r="AN965" s="100">
        <v>0</v>
      </c>
      <c r="AO965" s="100">
        <v>0</v>
      </c>
      <c r="AP965" s="100">
        <f t="shared" si="570"/>
        <v>282188</v>
      </c>
      <c r="AQ965" s="101">
        <f t="shared" si="573"/>
        <v>5925943</v>
      </c>
      <c r="AR965" s="101">
        <v>0</v>
      </c>
      <c r="AS965" s="101">
        <v>0</v>
      </c>
      <c r="AT965" s="102" t="s">
        <v>33</v>
      </c>
      <c r="AU965" s="109" t="s">
        <v>118</v>
      </c>
      <c r="AV965" s="100">
        <v>0</v>
      </c>
      <c r="AW965" s="105">
        <v>0</v>
      </c>
      <c r="AX965" s="216">
        <f t="shared" si="576"/>
        <v>1.7324376580238925</v>
      </c>
      <c r="AY965" s="217">
        <f t="shared" si="577"/>
        <v>97756</v>
      </c>
      <c r="AZ965" s="107"/>
      <c r="BA965" s="94">
        <v>45661.8125</v>
      </c>
      <c r="BB965" s="94">
        <v>45661.822916666664</v>
      </c>
      <c r="BC965" s="94">
        <v>45661.822916666664</v>
      </c>
      <c r="BD965" s="94">
        <v>45661.961111111108</v>
      </c>
      <c r="BE965" s="95">
        <f t="shared" si="578"/>
        <v>0.14861111110803904</v>
      </c>
      <c r="BF965" s="95">
        <v>0</v>
      </c>
      <c r="BG965" s="95">
        <v>3.3333333333333333E-2</v>
      </c>
      <c r="BH965" s="95">
        <f t="shared" si="579"/>
        <v>1.0416666664241347E-2</v>
      </c>
      <c r="BI965" s="95">
        <f t="shared" si="579"/>
        <v>0</v>
      </c>
      <c r="BJ965" s="95">
        <f t="shared" si="579"/>
        <v>0.13819444444379769</v>
      </c>
      <c r="BK965" s="95">
        <f t="shared" si="580"/>
        <v>0.13819444444379769</v>
      </c>
      <c r="BL965" s="95">
        <f t="shared" si="581"/>
        <v>0.10486111111046437</v>
      </c>
      <c r="BM965" s="95" t="str">
        <f t="shared" si="582"/>
        <v>00:00</v>
      </c>
      <c r="BN965" s="110"/>
    </row>
    <row r="966" spans="1:66" s="8" customFormat="1" ht="12.75" customHeight="1" x14ac:dyDescent="0.25">
      <c r="A966" s="150">
        <v>887</v>
      </c>
      <c r="B966" s="150">
        <v>13</v>
      </c>
      <c r="C966" s="90">
        <v>9</v>
      </c>
      <c r="D966" s="111" t="s">
        <v>148</v>
      </c>
      <c r="E966" s="210" t="s">
        <v>1040</v>
      </c>
      <c r="F966" s="150" t="s">
        <v>16</v>
      </c>
      <c r="G966" s="150" t="s">
        <v>17</v>
      </c>
      <c r="H966" s="150" t="s">
        <v>150</v>
      </c>
      <c r="I966" s="150" t="s">
        <v>501</v>
      </c>
      <c r="J966" s="151">
        <v>45661</v>
      </c>
      <c r="K966" s="135" t="s">
        <v>122</v>
      </c>
      <c r="L966" s="135">
        <v>461000649</v>
      </c>
      <c r="M966" s="151">
        <v>45662</v>
      </c>
      <c r="N966" s="152">
        <v>45662.114583333336</v>
      </c>
      <c r="O966" s="152">
        <v>45662.114583333336</v>
      </c>
      <c r="P966" s="152">
        <v>45662.128472222219</v>
      </c>
      <c r="Q966" s="152">
        <v>45662.28125</v>
      </c>
      <c r="R966" s="152" t="s">
        <v>118</v>
      </c>
      <c r="S966" s="152" t="s">
        <v>118</v>
      </c>
      <c r="T966" s="152">
        <v>45662.3125</v>
      </c>
      <c r="U966" s="152">
        <v>45662.457638888889</v>
      </c>
      <c r="V966" s="219">
        <f t="shared" si="574"/>
        <v>0.16666666666424135</v>
      </c>
      <c r="W966" s="203">
        <v>0.20833333333333334</v>
      </c>
      <c r="X966" s="219" t="str">
        <f t="shared" si="575"/>
        <v>00:00</v>
      </c>
      <c r="Y966" s="96">
        <v>0</v>
      </c>
      <c r="Z966" s="96">
        <v>56</v>
      </c>
      <c r="AA966" s="96">
        <f t="shared" si="551"/>
        <v>56</v>
      </c>
      <c r="AB966" s="97">
        <f t="shared" si="552"/>
        <v>0</v>
      </c>
      <c r="AC966" s="97">
        <f t="shared" si="553"/>
        <v>3856.47</v>
      </c>
      <c r="AD966" s="98">
        <v>3856.47</v>
      </c>
      <c r="AE966" s="98">
        <v>3898</v>
      </c>
      <c r="AF966" s="98">
        <v>3904.2</v>
      </c>
      <c r="AG966" s="98">
        <f t="shared" si="554"/>
        <v>47.730000000000018</v>
      </c>
      <c r="AH966" s="99">
        <v>672.5</v>
      </c>
      <c r="AI966" s="100">
        <f t="shared" si="555"/>
        <v>2625574.5</v>
      </c>
      <c r="AJ966" s="100">
        <f>(0.6*AH966)*2</f>
        <v>807</v>
      </c>
      <c r="AK966" s="100">
        <v>0</v>
      </c>
      <c r="AL966" s="100">
        <v>0</v>
      </c>
      <c r="AM966" s="100">
        <v>0</v>
      </c>
      <c r="AN966" s="100">
        <v>0</v>
      </c>
      <c r="AO966" s="100">
        <v>0</v>
      </c>
      <c r="AP966" s="100">
        <f t="shared" si="570"/>
        <v>131320</v>
      </c>
      <c r="AQ966" s="101">
        <f t="shared" si="573"/>
        <v>2757702</v>
      </c>
      <c r="AR966" s="101">
        <v>0</v>
      </c>
      <c r="AS966" s="101">
        <v>0</v>
      </c>
      <c r="AT966" s="102" t="s">
        <v>33</v>
      </c>
      <c r="AU966" s="109" t="s">
        <v>118</v>
      </c>
      <c r="AV966" s="100">
        <v>0</v>
      </c>
      <c r="AW966" s="105">
        <v>0</v>
      </c>
      <c r="AX966" s="216">
        <f t="shared" si="576"/>
        <v>1.2225295835254346</v>
      </c>
      <c r="AY966" s="217">
        <f t="shared" si="577"/>
        <v>32099</v>
      </c>
      <c r="AZ966" s="107"/>
      <c r="BA966" s="94">
        <v>45662.114583333336</v>
      </c>
      <c r="BB966" s="94">
        <v>45662.128472222219</v>
      </c>
      <c r="BC966" s="94">
        <v>45662.128472222219</v>
      </c>
      <c r="BD966" s="94">
        <v>45662.240277777775</v>
      </c>
      <c r="BE966" s="95">
        <f t="shared" si="578"/>
        <v>0.12569444443943212</v>
      </c>
      <c r="BF966" s="95">
        <v>0</v>
      </c>
      <c r="BG966" s="95">
        <v>4.1666666666666666E-3</v>
      </c>
      <c r="BH966" s="95">
        <f t="shared" si="579"/>
        <v>1.3888888883229811E-2</v>
      </c>
      <c r="BI966" s="95">
        <f t="shared" si="579"/>
        <v>0</v>
      </c>
      <c r="BJ966" s="95">
        <f t="shared" si="579"/>
        <v>0.11180555555620231</v>
      </c>
      <c r="BK966" s="95">
        <f t="shared" si="580"/>
        <v>0.11180555555620231</v>
      </c>
      <c r="BL966" s="95">
        <f t="shared" si="581"/>
        <v>0.10763888888953564</v>
      </c>
      <c r="BM966" s="95" t="str">
        <f t="shared" si="582"/>
        <v>00:00</v>
      </c>
      <c r="BN966" s="110"/>
    </row>
    <row r="967" spans="1:66" s="8" customFormat="1" ht="12.75" customHeight="1" x14ac:dyDescent="0.25">
      <c r="A967" s="150">
        <v>888</v>
      </c>
      <c r="B967" s="150">
        <v>14</v>
      </c>
      <c r="C967" s="90">
        <v>13</v>
      </c>
      <c r="D967" s="111" t="s">
        <v>113</v>
      </c>
      <c r="E967" s="210" t="s">
        <v>985</v>
      </c>
      <c r="F967" s="150" t="s">
        <v>27</v>
      </c>
      <c r="G967" s="150" t="s">
        <v>12</v>
      </c>
      <c r="H967" s="150" t="s">
        <v>115</v>
      </c>
      <c r="I967" s="150" t="s">
        <v>1045</v>
      </c>
      <c r="J967" s="151">
        <v>45662</v>
      </c>
      <c r="K967" s="135" t="s">
        <v>117</v>
      </c>
      <c r="L967" s="135">
        <v>282001099</v>
      </c>
      <c r="M967" s="151">
        <v>45663</v>
      </c>
      <c r="N967" s="152">
        <v>45662.5</v>
      </c>
      <c r="O967" s="152">
        <v>45662.5</v>
      </c>
      <c r="P967" s="152">
        <v>45662.503472222219</v>
      </c>
      <c r="Q967" s="152">
        <v>45662.666666666664</v>
      </c>
      <c r="R967" s="152" t="s">
        <v>118</v>
      </c>
      <c r="S967" s="152" t="s">
        <v>118</v>
      </c>
      <c r="T967" s="152">
        <v>45662.6875</v>
      </c>
      <c r="U967" s="152">
        <v>45662.795138888891</v>
      </c>
      <c r="V967" s="219">
        <f t="shared" si="574"/>
        <v>0.16666666666424135</v>
      </c>
      <c r="W967" s="203">
        <v>0.20833333333333334</v>
      </c>
      <c r="X967" s="219" t="str">
        <f t="shared" si="575"/>
        <v>00:00</v>
      </c>
      <c r="Y967" s="96">
        <v>0</v>
      </c>
      <c r="Z967" s="96">
        <v>58</v>
      </c>
      <c r="AA967" s="96">
        <f t="shared" si="551"/>
        <v>58</v>
      </c>
      <c r="AB967" s="97">
        <f t="shared" si="552"/>
        <v>0</v>
      </c>
      <c r="AC967" s="97">
        <f t="shared" si="553"/>
        <v>4021.3299999999995</v>
      </c>
      <c r="AD967" s="98">
        <v>4021.33</v>
      </c>
      <c r="AE967" s="98">
        <v>4037.8</v>
      </c>
      <c r="AF967" s="98">
        <v>4056.6</v>
      </c>
      <c r="AG967" s="98">
        <f t="shared" si="554"/>
        <v>35.269999999999982</v>
      </c>
      <c r="AH967" s="99">
        <v>1586.7</v>
      </c>
      <c r="AI967" s="100">
        <f t="shared" si="555"/>
        <v>6436607.2199999997</v>
      </c>
      <c r="AJ967" s="100">
        <f>(0*AH967)*2</f>
        <v>0</v>
      </c>
      <c r="AK967" s="100">
        <v>0</v>
      </c>
      <c r="AL967" s="100">
        <v>24140</v>
      </c>
      <c r="AM967" s="100">
        <v>0</v>
      </c>
      <c r="AN967" s="100">
        <v>0</v>
      </c>
      <c r="AO967" s="100">
        <f>IFERROR(AF967*20+(((AJ967/AH967)/2)*20),0)</f>
        <v>81132</v>
      </c>
      <c r="AP967" s="100">
        <f t="shared" si="570"/>
        <v>327094</v>
      </c>
      <c r="AQ967" s="101">
        <f t="shared" si="573"/>
        <v>6868974</v>
      </c>
      <c r="AR967" s="101">
        <v>0</v>
      </c>
      <c r="AS967" s="101">
        <v>0</v>
      </c>
      <c r="AT967" s="102" t="s">
        <v>33</v>
      </c>
      <c r="AU967" s="109">
        <v>8</v>
      </c>
      <c r="AV967" s="100">
        <f>21.47-16.97</f>
        <v>4.5</v>
      </c>
      <c r="AW967" s="105">
        <v>0</v>
      </c>
      <c r="AX967" s="216">
        <f t="shared" si="576"/>
        <v>0.86944732041611161</v>
      </c>
      <c r="AY967" s="217">
        <f t="shared" si="577"/>
        <v>55963</v>
      </c>
      <c r="AZ967" s="107"/>
      <c r="BA967" s="94">
        <v>45662.5</v>
      </c>
      <c r="BB967" s="94">
        <v>45662.503472222219</v>
      </c>
      <c r="BC967" s="94">
        <v>45662.503472222219</v>
      </c>
      <c r="BD967" s="94">
        <v>45662.649305555555</v>
      </c>
      <c r="BE967" s="95">
        <f t="shared" si="578"/>
        <v>0.14930555555474712</v>
      </c>
      <c r="BF967" s="95">
        <v>0</v>
      </c>
      <c r="BG967" s="95">
        <v>3.888888888888889E-2</v>
      </c>
      <c r="BH967" s="95">
        <f t="shared" si="579"/>
        <v>3.4722222189884633E-3</v>
      </c>
      <c r="BI967" s="95">
        <f t="shared" si="579"/>
        <v>0</v>
      </c>
      <c r="BJ967" s="95">
        <f t="shared" si="579"/>
        <v>0.14583333333575865</v>
      </c>
      <c r="BK967" s="95">
        <f t="shared" si="580"/>
        <v>0.14583333333575865</v>
      </c>
      <c r="BL967" s="95">
        <f t="shared" si="581"/>
        <v>0.10694444444686976</v>
      </c>
      <c r="BM967" s="95" t="str">
        <f t="shared" si="582"/>
        <v>00:00</v>
      </c>
      <c r="BN967" s="110"/>
    </row>
    <row r="968" spans="1:66" s="8" customFormat="1" ht="12.75" customHeight="1" x14ac:dyDescent="0.25">
      <c r="A968" s="150">
        <v>889</v>
      </c>
      <c r="B968" s="150">
        <v>15</v>
      </c>
      <c r="C968" s="90">
        <v>10</v>
      </c>
      <c r="D968" s="111" t="s">
        <v>148</v>
      </c>
      <c r="E968" s="210" t="s">
        <v>1040</v>
      </c>
      <c r="F968" s="150" t="s">
        <v>16</v>
      </c>
      <c r="G968" s="150" t="s">
        <v>17</v>
      </c>
      <c r="H968" s="150" t="s">
        <v>150</v>
      </c>
      <c r="I968" s="150" t="s">
        <v>502</v>
      </c>
      <c r="J968" s="151">
        <v>45661</v>
      </c>
      <c r="K968" s="135" t="s">
        <v>122</v>
      </c>
      <c r="L968" s="135">
        <v>461000650</v>
      </c>
      <c r="M968" s="151">
        <v>45663</v>
      </c>
      <c r="N968" s="152">
        <v>45662.666666666664</v>
      </c>
      <c r="O968" s="152">
        <v>45662.666666666664</v>
      </c>
      <c r="P968" s="152">
        <v>45662.670138888891</v>
      </c>
      <c r="Q968" s="152">
        <v>45662.84375</v>
      </c>
      <c r="R968" s="152" t="s">
        <v>118</v>
      </c>
      <c r="S968" s="152" t="s">
        <v>118</v>
      </c>
      <c r="T968" s="152">
        <v>45662.9375</v>
      </c>
      <c r="U968" s="152">
        <v>45663.083333333336</v>
      </c>
      <c r="V968" s="219">
        <f t="shared" si="574"/>
        <v>0.17708333333575865</v>
      </c>
      <c r="W968" s="203">
        <v>0.20833333333333334</v>
      </c>
      <c r="X968" s="219" t="str">
        <f t="shared" si="575"/>
        <v>00:00</v>
      </c>
      <c r="Y968" s="96">
        <v>0</v>
      </c>
      <c r="Z968" s="96">
        <v>59</v>
      </c>
      <c r="AA968" s="96">
        <f t="shared" si="551"/>
        <v>59</v>
      </c>
      <c r="AB968" s="97">
        <f t="shared" si="552"/>
        <v>0</v>
      </c>
      <c r="AC968" s="97">
        <f t="shared" si="553"/>
        <v>4100.8599999999997</v>
      </c>
      <c r="AD968" s="98">
        <v>4100.8599999999997</v>
      </c>
      <c r="AE968" s="98">
        <v>4107.5</v>
      </c>
      <c r="AF968" s="98">
        <v>4129</v>
      </c>
      <c r="AG968" s="98">
        <f t="shared" si="554"/>
        <v>28.140000000000327</v>
      </c>
      <c r="AH968" s="99">
        <v>672.5</v>
      </c>
      <c r="AI968" s="100">
        <f t="shared" si="555"/>
        <v>2776752.5</v>
      </c>
      <c r="AJ968" s="100">
        <f>(0*AH968)*2</f>
        <v>0</v>
      </c>
      <c r="AK968" s="100">
        <v>0</v>
      </c>
      <c r="AL968" s="100">
        <v>24290</v>
      </c>
      <c r="AM968" s="100">
        <v>0</v>
      </c>
      <c r="AN968" s="100">
        <v>0</v>
      </c>
      <c r="AO968" s="100">
        <v>0</v>
      </c>
      <c r="AP968" s="100">
        <f t="shared" si="570"/>
        <v>140053</v>
      </c>
      <c r="AQ968" s="101">
        <f t="shared" si="573"/>
        <v>2941096</v>
      </c>
      <c r="AR968" s="101">
        <v>0</v>
      </c>
      <c r="AS968" s="101">
        <v>0</v>
      </c>
      <c r="AT968" s="102" t="s">
        <v>33</v>
      </c>
      <c r="AU968" s="109">
        <v>10</v>
      </c>
      <c r="AV968" s="100">
        <f>26.7-19.2</f>
        <v>7.5</v>
      </c>
      <c r="AW968" s="105">
        <v>0</v>
      </c>
      <c r="AX968" s="216">
        <f t="shared" si="576"/>
        <v>0.68152094938242502</v>
      </c>
      <c r="AY968" s="217">
        <f t="shared" si="577"/>
        <v>18925</v>
      </c>
      <c r="AZ968" s="107"/>
      <c r="BA968" s="94">
        <v>45662.666666666664</v>
      </c>
      <c r="BB968" s="94">
        <v>45662.670138888891</v>
      </c>
      <c r="BC968" s="94">
        <v>45662.670138888891</v>
      </c>
      <c r="BD968" s="94">
        <v>45662.802083333336</v>
      </c>
      <c r="BE968" s="95">
        <f t="shared" si="578"/>
        <v>0.13541666667151731</v>
      </c>
      <c r="BF968" s="95">
        <v>2.7777777777777779E-3</v>
      </c>
      <c r="BG968" s="95">
        <v>0</v>
      </c>
      <c r="BH968" s="95">
        <f t="shared" si="579"/>
        <v>3.4722222262644209E-3</v>
      </c>
      <c r="BI968" s="95">
        <f t="shared" si="579"/>
        <v>0</v>
      </c>
      <c r="BJ968" s="95">
        <f t="shared" si="579"/>
        <v>0.13194444444525288</v>
      </c>
      <c r="BK968" s="95">
        <f t="shared" si="580"/>
        <v>0.13194444444525288</v>
      </c>
      <c r="BL968" s="95">
        <f t="shared" si="581"/>
        <v>0.12916666666747512</v>
      </c>
      <c r="BM968" s="95" t="str">
        <f t="shared" si="582"/>
        <v>00:00</v>
      </c>
      <c r="BN968" s="110"/>
    </row>
    <row r="969" spans="1:66" s="8" customFormat="1" ht="12.75" customHeight="1" x14ac:dyDescent="0.25">
      <c r="A969" s="150">
        <v>890</v>
      </c>
      <c r="B969" s="150">
        <v>16</v>
      </c>
      <c r="C969" s="90">
        <v>11</v>
      </c>
      <c r="D969" s="111" t="s">
        <v>148</v>
      </c>
      <c r="E969" s="210" t="s">
        <v>1040</v>
      </c>
      <c r="F969" s="150" t="s">
        <v>16</v>
      </c>
      <c r="G969" s="150" t="s">
        <v>17</v>
      </c>
      <c r="H969" s="150" t="s">
        <v>150</v>
      </c>
      <c r="I969" s="150" t="s">
        <v>503</v>
      </c>
      <c r="J969" s="151">
        <v>45661</v>
      </c>
      <c r="K969" s="135" t="s">
        <v>117</v>
      </c>
      <c r="L969" s="135">
        <v>461000651</v>
      </c>
      <c r="M969" s="151">
        <v>45663</v>
      </c>
      <c r="N969" s="152">
        <v>45662.833333333336</v>
      </c>
      <c r="O969" s="152">
        <v>45662.833333333336</v>
      </c>
      <c r="P969" s="152">
        <v>45662.840277777781</v>
      </c>
      <c r="Q969" s="152">
        <v>45662.993055555555</v>
      </c>
      <c r="R969" s="152" t="s">
        <v>118</v>
      </c>
      <c r="S969" s="152" t="s">
        <v>118</v>
      </c>
      <c r="T969" s="152">
        <v>45663.104166666664</v>
      </c>
      <c r="U969" s="152">
        <v>45663.368055555555</v>
      </c>
      <c r="V969" s="219">
        <f t="shared" si="574"/>
        <v>0.15972222221898846</v>
      </c>
      <c r="W969" s="203">
        <v>0.20833333333333334</v>
      </c>
      <c r="X969" s="219" t="str">
        <f t="shared" si="575"/>
        <v>00:00</v>
      </c>
      <c r="Y969" s="96">
        <v>0</v>
      </c>
      <c r="Z969" s="96">
        <v>59</v>
      </c>
      <c r="AA969" s="96">
        <f t="shared" si="551"/>
        <v>59</v>
      </c>
      <c r="AB969" s="97">
        <f t="shared" si="552"/>
        <v>0</v>
      </c>
      <c r="AC969" s="97">
        <f t="shared" si="553"/>
        <v>4160.67</v>
      </c>
      <c r="AD969" s="98">
        <v>4160.67</v>
      </c>
      <c r="AE969" s="98">
        <v>4127.3999999999996</v>
      </c>
      <c r="AF969" s="98">
        <v>4169</v>
      </c>
      <c r="AG969" s="98">
        <f t="shared" si="554"/>
        <v>8.3299999999999272</v>
      </c>
      <c r="AH969" s="99">
        <v>672.5</v>
      </c>
      <c r="AI969" s="100">
        <f t="shared" si="555"/>
        <v>2803652.5</v>
      </c>
      <c r="AJ969" s="100">
        <f>(0*AH969)*2</f>
        <v>0</v>
      </c>
      <c r="AK969" s="100">
        <v>0</v>
      </c>
      <c r="AL969" s="100">
        <v>24290</v>
      </c>
      <c r="AM969" s="100">
        <v>0</v>
      </c>
      <c r="AN969" s="100">
        <v>0</v>
      </c>
      <c r="AO969" s="100">
        <v>0</v>
      </c>
      <c r="AP969" s="100">
        <f t="shared" si="570"/>
        <v>141398</v>
      </c>
      <c r="AQ969" s="101">
        <f t="shared" si="573"/>
        <v>2969341</v>
      </c>
      <c r="AR969" s="101">
        <v>0</v>
      </c>
      <c r="AS969" s="101">
        <v>0</v>
      </c>
      <c r="AT969" s="102" t="s">
        <v>33</v>
      </c>
      <c r="AU969" s="109">
        <v>22</v>
      </c>
      <c r="AV969" s="100">
        <f>53.2-37.2</f>
        <v>16</v>
      </c>
      <c r="AW969" s="105">
        <v>0</v>
      </c>
      <c r="AX969" s="216">
        <f t="shared" si="576"/>
        <v>0.19980810745982075</v>
      </c>
      <c r="AY969" s="217">
        <f t="shared" si="577"/>
        <v>5602</v>
      </c>
      <c r="AZ969" s="107"/>
      <c r="BA969" s="94">
        <v>45662.833333333336</v>
      </c>
      <c r="BB969" s="94">
        <v>45662.840277777781</v>
      </c>
      <c r="BC969" s="94">
        <v>45662.847222222219</v>
      </c>
      <c r="BD969" s="94">
        <v>45662.976388888892</v>
      </c>
      <c r="BE969" s="95">
        <f t="shared" si="578"/>
        <v>0.14305555555620231</v>
      </c>
      <c r="BF969" s="95">
        <v>0</v>
      </c>
      <c r="BG969" s="95">
        <v>6.9444444444444441E-3</v>
      </c>
      <c r="BH969" s="95">
        <f t="shared" si="579"/>
        <v>6.9444444452528842E-3</v>
      </c>
      <c r="BI969" s="95">
        <f t="shared" si="579"/>
        <v>6.9444444379769266E-3</v>
      </c>
      <c r="BJ969" s="95">
        <f t="shared" si="579"/>
        <v>0.1291666666729725</v>
      </c>
      <c r="BK969" s="95">
        <f t="shared" si="580"/>
        <v>0.13611111111094942</v>
      </c>
      <c r="BL969" s="95">
        <f t="shared" si="581"/>
        <v>0.12916666666650498</v>
      </c>
      <c r="BM969" s="95" t="str">
        <f t="shared" si="582"/>
        <v>00:00</v>
      </c>
      <c r="BN969" s="110"/>
    </row>
    <row r="970" spans="1:66" s="8" customFormat="1" ht="12.75" customHeight="1" x14ac:dyDescent="0.25">
      <c r="A970" s="150">
        <v>891</v>
      </c>
      <c r="B970" s="150">
        <v>17</v>
      </c>
      <c r="C970" s="90">
        <v>12</v>
      </c>
      <c r="D970" s="111" t="s">
        <v>148</v>
      </c>
      <c r="E970" s="210" t="s">
        <v>1040</v>
      </c>
      <c r="F970" s="150" t="s">
        <v>16</v>
      </c>
      <c r="G970" s="150" t="s">
        <v>17</v>
      </c>
      <c r="H970" s="150" t="s">
        <v>150</v>
      </c>
      <c r="I970" s="150" t="s">
        <v>504</v>
      </c>
      <c r="J970" s="151">
        <v>45662</v>
      </c>
      <c r="K970" s="135" t="s">
        <v>122</v>
      </c>
      <c r="L970" s="135">
        <v>461000652</v>
      </c>
      <c r="M970" s="151">
        <v>45663</v>
      </c>
      <c r="N970" s="152">
        <v>45663.222222222219</v>
      </c>
      <c r="O970" s="152">
        <v>45663.222222222219</v>
      </c>
      <c r="P970" s="152">
        <v>45663.225694444445</v>
      </c>
      <c r="Q970" s="152">
        <v>45663.427083333336</v>
      </c>
      <c r="R970" s="152" t="s">
        <v>118</v>
      </c>
      <c r="S970" s="152" t="s">
        <v>118</v>
      </c>
      <c r="T970" s="152">
        <v>45663.458333333336</v>
      </c>
      <c r="U970" s="152">
        <v>45663.625</v>
      </c>
      <c r="V970" s="219">
        <f t="shared" si="574"/>
        <v>0.20486111111677019</v>
      </c>
      <c r="W970" s="203">
        <v>0.20833333333333334</v>
      </c>
      <c r="X970" s="219" t="str">
        <f t="shared" si="575"/>
        <v>00:00</v>
      </c>
      <c r="Y970" s="96">
        <v>0</v>
      </c>
      <c r="Z970" s="96">
        <v>58</v>
      </c>
      <c r="AA970" s="96">
        <f t="shared" si="551"/>
        <v>58</v>
      </c>
      <c r="AB970" s="97">
        <f t="shared" si="552"/>
        <v>0</v>
      </c>
      <c r="AC970" s="97">
        <f t="shared" si="553"/>
        <v>3980.49</v>
      </c>
      <c r="AD970" s="98">
        <v>3980.49</v>
      </c>
      <c r="AE970" s="98">
        <v>4045.4</v>
      </c>
      <c r="AF970" s="98">
        <v>4050.8</v>
      </c>
      <c r="AG970" s="98">
        <f t="shared" si="554"/>
        <v>70.3100000000004</v>
      </c>
      <c r="AH970" s="99">
        <v>672.5</v>
      </c>
      <c r="AI970" s="100">
        <f t="shared" si="555"/>
        <v>2724163</v>
      </c>
      <c r="AJ970" s="100">
        <f>(0*AH970)*2</f>
        <v>0</v>
      </c>
      <c r="AK970" s="100">
        <v>0</v>
      </c>
      <c r="AL970" s="100">
        <v>24140</v>
      </c>
      <c r="AM970" s="100">
        <v>0</v>
      </c>
      <c r="AN970" s="100">
        <v>0</v>
      </c>
      <c r="AO970" s="100">
        <v>0</v>
      </c>
      <c r="AP970" s="100">
        <f t="shared" si="570"/>
        <v>137416</v>
      </c>
      <c r="AQ970" s="101">
        <f t="shared" si="573"/>
        <v>2885719</v>
      </c>
      <c r="AR970" s="101">
        <v>0</v>
      </c>
      <c r="AS970" s="101">
        <v>0</v>
      </c>
      <c r="AT970" s="102" t="s">
        <v>33</v>
      </c>
      <c r="AU970" s="109">
        <v>3</v>
      </c>
      <c r="AV970" s="100">
        <f>6.54-4.54</f>
        <v>2</v>
      </c>
      <c r="AW970" s="105">
        <v>0</v>
      </c>
      <c r="AX970" s="216">
        <f t="shared" si="576"/>
        <v>1.7357065271057668</v>
      </c>
      <c r="AY970" s="217">
        <f t="shared" si="577"/>
        <v>47284</v>
      </c>
      <c r="AZ970" s="107"/>
      <c r="BA970" s="94">
        <v>45663.222222222219</v>
      </c>
      <c r="BB970" s="94">
        <v>45663.225694444445</v>
      </c>
      <c r="BC970" s="94">
        <v>45663.225694444445</v>
      </c>
      <c r="BD970" s="94">
        <v>45663.350694444445</v>
      </c>
      <c r="BE970" s="95">
        <f t="shared" si="578"/>
        <v>0.12847222222626442</v>
      </c>
      <c r="BF970" s="95">
        <v>6.2500000000000003E-3</v>
      </c>
      <c r="BG970" s="95">
        <v>0</v>
      </c>
      <c r="BH970" s="95">
        <f t="shared" si="579"/>
        <v>3.4722222262644209E-3</v>
      </c>
      <c r="BI970" s="95">
        <f t="shared" si="579"/>
        <v>0</v>
      </c>
      <c r="BJ970" s="95">
        <f t="shared" si="579"/>
        <v>0.125</v>
      </c>
      <c r="BK970" s="95">
        <f t="shared" si="580"/>
        <v>0.125</v>
      </c>
      <c r="BL970" s="95">
        <f t="shared" si="581"/>
        <v>0.11874999999999999</v>
      </c>
      <c r="BM970" s="95" t="str">
        <f t="shared" si="582"/>
        <v>00:00</v>
      </c>
      <c r="BN970" s="110"/>
    </row>
    <row r="971" spans="1:66" s="8" customFormat="1" ht="12.75" customHeight="1" x14ac:dyDescent="0.25">
      <c r="A971" s="150">
        <v>892</v>
      </c>
      <c r="B971" s="150">
        <v>18</v>
      </c>
      <c r="C971" s="90">
        <v>12</v>
      </c>
      <c r="D971" s="111" t="s">
        <v>113</v>
      </c>
      <c r="E971" s="210" t="s">
        <v>996</v>
      </c>
      <c r="F971" s="150" t="s">
        <v>29</v>
      </c>
      <c r="G971" s="150" t="s">
        <v>15</v>
      </c>
      <c r="H971" s="150" t="s">
        <v>124</v>
      </c>
      <c r="I971" s="150" t="s">
        <v>1046</v>
      </c>
      <c r="J971" s="151">
        <v>45663</v>
      </c>
      <c r="K971" s="135" t="s">
        <v>117</v>
      </c>
      <c r="L971" s="135">
        <v>441000020</v>
      </c>
      <c r="M971" s="151">
        <v>45663</v>
      </c>
      <c r="N971" s="152">
        <v>45663.5625</v>
      </c>
      <c r="O971" s="152">
        <v>45663.5625</v>
      </c>
      <c r="P971" s="152">
        <v>45663.565972222219</v>
      </c>
      <c r="Q971" s="152">
        <v>45663.760416666664</v>
      </c>
      <c r="R971" s="152" t="s">
        <v>118</v>
      </c>
      <c r="S971" s="152" t="s">
        <v>118</v>
      </c>
      <c r="T971" s="152">
        <v>45663.770833333336</v>
      </c>
      <c r="U971" s="152">
        <v>45663.965277777781</v>
      </c>
      <c r="V971" s="219">
        <f t="shared" si="574"/>
        <v>0.19791666666424135</v>
      </c>
      <c r="W971" s="203">
        <v>0.20833333333333334</v>
      </c>
      <c r="X971" s="219" t="str">
        <f t="shared" si="575"/>
        <v>00:00</v>
      </c>
      <c r="Y971" s="96">
        <v>0</v>
      </c>
      <c r="Z971" s="96">
        <v>59</v>
      </c>
      <c r="AA971" s="96">
        <f t="shared" si="551"/>
        <v>59</v>
      </c>
      <c r="AB971" s="97">
        <f t="shared" si="552"/>
        <v>0</v>
      </c>
      <c r="AC971" s="97">
        <f t="shared" si="553"/>
        <v>4028.7800000000007</v>
      </c>
      <c r="AD971" s="98">
        <v>4028.78</v>
      </c>
      <c r="AE971" s="98">
        <v>4104.2</v>
      </c>
      <c r="AF971" s="98">
        <v>4112.6000000000004</v>
      </c>
      <c r="AG971" s="98">
        <f t="shared" si="554"/>
        <v>83.820000000000164</v>
      </c>
      <c r="AH971" s="99">
        <v>797.2</v>
      </c>
      <c r="AI971" s="100">
        <f t="shared" si="555"/>
        <v>3278564.7200000007</v>
      </c>
      <c r="AJ971" s="100">
        <f>(0*AH971)*2</f>
        <v>0</v>
      </c>
      <c r="AK971" s="100">
        <v>0</v>
      </c>
      <c r="AL971" s="100">
        <v>24290</v>
      </c>
      <c r="AM971" s="100">
        <v>0</v>
      </c>
      <c r="AN971" s="100">
        <v>0</v>
      </c>
      <c r="AO971" s="100">
        <v>0</v>
      </c>
      <c r="AP971" s="100">
        <f t="shared" si="570"/>
        <v>165143</v>
      </c>
      <c r="AQ971" s="101">
        <f t="shared" si="573"/>
        <v>3467998</v>
      </c>
      <c r="AR971" s="101">
        <v>0</v>
      </c>
      <c r="AS971" s="101">
        <v>0</v>
      </c>
      <c r="AT971" s="102" t="s">
        <v>33</v>
      </c>
      <c r="AU971" s="109">
        <v>6</v>
      </c>
      <c r="AV971" s="100">
        <f>10.69-7.19</f>
        <v>3.4999999999999991</v>
      </c>
      <c r="AW971" s="105">
        <v>0</v>
      </c>
      <c r="AX971" s="216">
        <f t="shared" si="576"/>
        <v>2.0381267324806727</v>
      </c>
      <c r="AY971" s="217">
        <f t="shared" si="577"/>
        <v>66822</v>
      </c>
      <c r="AZ971" s="107"/>
      <c r="BA971" s="94">
        <v>45663.5625</v>
      </c>
      <c r="BB971" s="94">
        <v>45663.565972222219</v>
      </c>
      <c r="BC971" s="94">
        <v>45663.565972222219</v>
      </c>
      <c r="BD971" s="94">
        <v>45663.722222222219</v>
      </c>
      <c r="BE971" s="95">
        <f t="shared" si="578"/>
        <v>0.15972222221898846</v>
      </c>
      <c r="BF971" s="95">
        <v>0</v>
      </c>
      <c r="BG971" s="95">
        <v>4.1666666666666664E-2</v>
      </c>
      <c r="BH971" s="95">
        <f t="shared" si="579"/>
        <v>3.4722222189884633E-3</v>
      </c>
      <c r="BI971" s="95">
        <f t="shared" si="579"/>
        <v>0</v>
      </c>
      <c r="BJ971" s="95">
        <f t="shared" si="579"/>
        <v>0.15625</v>
      </c>
      <c r="BK971" s="95">
        <f t="shared" si="580"/>
        <v>0.15625</v>
      </c>
      <c r="BL971" s="95">
        <f t="shared" si="581"/>
        <v>0.11458333333333334</v>
      </c>
      <c r="BM971" s="95" t="str">
        <f t="shared" si="582"/>
        <v>00:00</v>
      </c>
      <c r="BN971" s="110"/>
    </row>
    <row r="972" spans="1:66" s="8" customFormat="1" ht="12.75" customHeight="1" x14ac:dyDescent="0.25">
      <c r="A972" s="150">
        <v>893</v>
      </c>
      <c r="B972" s="150">
        <v>19</v>
      </c>
      <c r="C972" s="90">
        <v>13</v>
      </c>
      <c r="D972" s="111" t="s">
        <v>148</v>
      </c>
      <c r="E972" s="210" t="s">
        <v>1040</v>
      </c>
      <c r="F972" s="150" t="s">
        <v>16</v>
      </c>
      <c r="G972" s="150" t="s">
        <v>17</v>
      </c>
      <c r="H972" s="150" t="s">
        <v>150</v>
      </c>
      <c r="I972" s="150" t="s">
        <v>505</v>
      </c>
      <c r="J972" s="151">
        <v>45662</v>
      </c>
      <c r="K972" s="135" t="s">
        <v>122</v>
      </c>
      <c r="L972" s="135">
        <v>461000653</v>
      </c>
      <c r="M972" s="151">
        <v>45664</v>
      </c>
      <c r="N972" s="152">
        <v>45663.6875</v>
      </c>
      <c r="O972" s="152">
        <v>45663.6875</v>
      </c>
      <c r="P972" s="152">
        <v>45663.690972222219</v>
      </c>
      <c r="Q972" s="152">
        <v>45663.895833333336</v>
      </c>
      <c r="R972" s="152" t="s">
        <v>118</v>
      </c>
      <c r="S972" s="152" t="s">
        <v>118</v>
      </c>
      <c r="T972" s="152">
        <v>45663.979166666664</v>
      </c>
      <c r="U972" s="152">
        <v>45664.046527777777</v>
      </c>
      <c r="V972" s="219">
        <f t="shared" si="574"/>
        <v>0.20833333333575865</v>
      </c>
      <c r="W972" s="203">
        <v>0.20833333333333334</v>
      </c>
      <c r="X972" s="219">
        <f t="shared" si="575"/>
        <v>2.4253099528692701E-12</v>
      </c>
      <c r="Y972" s="96">
        <v>0</v>
      </c>
      <c r="Z972" s="96">
        <v>58</v>
      </c>
      <c r="AA972" s="96">
        <f t="shared" si="551"/>
        <v>58</v>
      </c>
      <c r="AB972" s="97">
        <f t="shared" si="552"/>
        <v>0</v>
      </c>
      <c r="AC972" s="97">
        <f t="shared" si="553"/>
        <v>3968.0299999999997</v>
      </c>
      <c r="AD972" s="98">
        <v>3968.03</v>
      </c>
      <c r="AE972" s="98">
        <v>4032.5</v>
      </c>
      <c r="AF972" s="98">
        <v>4037.8</v>
      </c>
      <c r="AG972" s="98">
        <f t="shared" si="554"/>
        <v>69.769999999999982</v>
      </c>
      <c r="AH972" s="99">
        <v>672.5</v>
      </c>
      <c r="AI972" s="100">
        <f t="shared" si="555"/>
        <v>2715420.5</v>
      </c>
      <c r="AJ972" s="100">
        <f>(0.6*AH972)*2</f>
        <v>807</v>
      </c>
      <c r="AK972" s="100">
        <v>0</v>
      </c>
      <c r="AL972" s="100">
        <v>0</v>
      </c>
      <c r="AM972" s="100">
        <v>0</v>
      </c>
      <c r="AN972" s="100">
        <v>0</v>
      </c>
      <c r="AO972" s="100">
        <v>0</v>
      </c>
      <c r="AP972" s="100">
        <f t="shared" si="570"/>
        <v>135812</v>
      </c>
      <c r="AQ972" s="101">
        <f t="shared" si="573"/>
        <v>2852040</v>
      </c>
      <c r="AR972" s="101">
        <v>0</v>
      </c>
      <c r="AS972" s="101">
        <v>0</v>
      </c>
      <c r="AT972" s="102" t="s">
        <v>33</v>
      </c>
      <c r="AU972" s="109" t="s">
        <v>118</v>
      </c>
      <c r="AV972" s="100">
        <v>0</v>
      </c>
      <c r="AW972" s="105">
        <v>0</v>
      </c>
      <c r="AX972" s="216">
        <f t="shared" si="576"/>
        <v>1.7279211451780667</v>
      </c>
      <c r="AY972" s="217">
        <f t="shared" si="577"/>
        <v>46921</v>
      </c>
      <c r="AZ972" s="107"/>
      <c r="BA972" s="94">
        <v>45663.6875</v>
      </c>
      <c r="BB972" s="94">
        <v>45663.690972222219</v>
      </c>
      <c r="BC972" s="94">
        <v>45663.729166666664</v>
      </c>
      <c r="BD972" s="94">
        <v>45663.862500000003</v>
      </c>
      <c r="BE972" s="95">
        <f t="shared" si="578"/>
        <v>0.17500000000291038</v>
      </c>
      <c r="BF972" s="95">
        <v>5.5555555555555558E-3</v>
      </c>
      <c r="BG972" s="95">
        <v>4.8611111111111112E-2</v>
      </c>
      <c r="BH972" s="95">
        <f t="shared" si="579"/>
        <v>3.4722222189884633E-3</v>
      </c>
      <c r="BI972" s="95">
        <f t="shared" si="579"/>
        <v>3.8194444445252884E-2</v>
      </c>
      <c r="BJ972" s="95">
        <f t="shared" si="579"/>
        <v>0.13333333333866904</v>
      </c>
      <c r="BK972" s="95">
        <f t="shared" si="580"/>
        <v>0.17152777778392192</v>
      </c>
      <c r="BL972" s="95">
        <f t="shared" si="581"/>
        <v>0.11736111111725525</v>
      </c>
      <c r="BM972" s="95" t="str">
        <f t="shared" si="582"/>
        <v>00:00</v>
      </c>
      <c r="BN972" s="110"/>
    </row>
    <row r="973" spans="1:66" s="8" customFormat="1" ht="12.75" customHeight="1" x14ac:dyDescent="0.25">
      <c r="A973" s="150">
        <v>894</v>
      </c>
      <c r="B973" s="150">
        <v>20</v>
      </c>
      <c r="C973" s="90">
        <v>8</v>
      </c>
      <c r="D973" s="111" t="s">
        <v>113</v>
      </c>
      <c r="E973" s="210" t="s">
        <v>948</v>
      </c>
      <c r="F973" s="150" t="s">
        <v>14</v>
      </c>
      <c r="G973" s="150" t="s">
        <v>15</v>
      </c>
      <c r="H973" s="150" t="s">
        <v>779</v>
      </c>
      <c r="I973" s="150" t="s">
        <v>1047</v>
      </c>
      <c r="J973" s="151">
        <v>45663</v>
      </c>
      <c r="K973" s="135" t="s">
        <v>117</v>
      </c>
      <c r="L973" s="135">
        <v>281000272</v>
      </c>
      <c r="M973" s="151">
        <v>45664</v>
      </c>
      <c r="N973" s="152">
        <v>45664.010416666664</v>
      </c>
      <c r="O973" s="152">
        <v>45664.010416666664</v>
      </c>
      <c r="P973" s="152">
        <v>45664.013888888891</v>
      </c>
      <c r="Q973" s="152">
        <v>45664.208333333336</v>
      </c>
      <c r="R973" s="152" t="s">
        <v>118</v>
      </c>
      <c r="S973" s="152" t="s">
        <v>118</v>
      </c>
      <c r="T973" s="152">
        <v>45664.229166666664</v>
      </c>
      <c r="U973" s="152">
        <v>45664.371527777781</v>
      </c>
      <c r="V973" s="219">
        <f t="shared" si="574"/>
        <v>0.19791666667151731</v>
      </c>
      <c r="W973" s="203">
        <v>0.20833333333333334</v>
      </c>
      <c r="X973" s="219" t="str">
        <f t="shared" si="575"/>
        <v>00:00</v>
      </c>
      <c r="Y973" s="96">
        <v>0</v>
      </c>
      <c r="Z973" s="96">
        <v>59</v>
      </c>
      <c r="AA973" s="96">
        <f t="shared" si="551"/>
        <v>59</v>
      </c>
      <c r="AB973" s="97">
        <f t="shared" si="552"/>
        <v>0</v>
      </c>
      <c r="AC973" s="97">
        <f t="shared" si="553"/>
        <v>3920.2700000000004</v>
      </c>
      <c r="AD973" s="98">
        <v>3920.27</v>
      </c>
      <c r="AE973" s="98">
        <v>4113.8</v>
      </c>
      <c r="AF973" s="98">
        <v>4113.8</v>
      </c>
      <c r="AG973" s="98">
        <f t="shared" si="554"/>
        <v>193.5300000000002</v>
      </c>
      <c r="AH973" s="99">
        <v>1435.6</v>
      </c>
      <c r="AI973" s="100">
        <f t="shared" si="555"/>
        <v>5905771.2800000003</v>
      </c>
      <c r="AJ973" s="100">
        <f>(0*AH973)*2</f>
        <v>0</v>
      </c>
      <c r="AK973" s="100">
        <v>0</v>
      </c>
      <c r="AL973" s="100">
        <v>0</v>
      </c>
      <c r="AM973" s="100">
        <v>0</v>
      </c>
      <c r="AN973" s="100">
        <v>0</v>
      </c>
      <c r="AO973" s="100">
        <v>0</v>
      </c>
      <c r="AP973" s="100">
        <f t="shared" si="570"/>
        <v>295289</v>
      </c>
      <c r="AQ973" s="101">
        <f t="shared" si="573"/>
        <v>6201061</v>
      </c>
      <c r="AR973" s="101">
        <v>0</v>
      </c>
      <c r="AS973" s="101">
        <v>0</v>
      </c>
      <c r="AT973" s="102" t="s">
        <v>33</v>
      </c>
      <c r="AU973" s="109" t="s">
        <v>118</v>
      </c>
      <c r="AV973" s="100">
        <v>0</v>
      </c>
      <c r="AW973" s="105">
        <v>0</v>
      </c>
      <c r="AX973" s="216">
        <f t="shared" si="576"/>
        <v>4.7044095483494628</v>
      </c>
      <c r="AY973" s="217">
        <f t="shared" si="577"/>
        <v>277832</v>
      </c>
      <c r="AZ973" s="107"/>
      <c r="BA973" s="94">
        <v>45664.010416666664</v>
      </c>
      <c r="BB973" s="94">
        <v>45664.013888888891</v>
      </c>
      <c r="BC973" s="94">
        <v>45664.013888888891</v>
      </c>
      <c r="BD973" s="94">
        <v>45664.173611111109</v>
      </c>
      <c r="BE973" s="95">
        <f t="shared" si="578"/>
        <v>0.16319444444525288</v>
      </c>
      <c r="BF973" s="95">
        <v>0</v>
      </c>
      <c r="BG973" s="95">
        <v>6.5972222222222224E-2</v>
      </c>
      <c r="BH973" s="95">
        <f t="shared" si="579"/>
        <v>3.4722222262644209E-3</v>
      </c>
      <c r="BI973" s="95">
        <f t="shared" si="579"/>
        <v>0</v>
      </c>
      <c r="BJ973" s="95">
        <f t="shared" si="579"/>
        <v>0.15972222221898846</v>
      </c>
      <c r="BK973" s="95">
        <f t="shared" si="580"/>
        <v>0.15972222221898846</v>
      </c>
      <c r="BL973" s="95">
        <f t="shared" si="581"/>
        <v>9.374999999676624E-2</v>
      </c>
      <c r="BM973" s="95" t="str">
        <f t="shared" si="582"/>
        <v>00:00</v>
      </c>
      <c r="BN973" s="110"/>
    </row>
    <row r="974" spans="1:66" s="8" customFormat="1" ht="12.75" customHeight="1" x14ac:dyDescent="0.25">
      <c r="A974" s="150">
        <v>895</v>
      </c>
      <c r="B974" s="150">
        <v>21</v>
      </c>
      <c r="C974" s="90">
        <v>14</v>
      </c>
      <c r="D974" s="111" t="s">
        <v>148</v>
      </c>
      <c r="E974" s="210" t="s">
        <v>1040</v>
      </c>
      <c r="F974" s="150" t="s">
        <v>16</v>
      </c>
      <c r="G974" s="150" t="s">
        <v>17</v>
      </c>
      <c r="H974" s="150" t="s">
        <v>150</v>
      </c>
      <c r="I974" s="150" t="s">
        <v>506</v>
      </c>
      <c r="J974" s="151">
        <v>45662</v>
      </c>
      <c r="K974" s="135" t="s">
        <v>122</v>
      </c>
      <c r="L974" s="135">
        <v>441000021</v>
      </c>
      <c r="M974" s="151">
        <v>45664</v>
      </c>
      <c r="N974" s="152">
        <v>45664.15625</v>
      </c>
      <c r="O974" s="152">
        <v>45664.15625</v>
      </c>
      <c r="P974" s="152">
        <v>45664.159722222219</v>
      </c>
      <c r="Q974" s="152">
        <v>45664.322916666664</v>
      </c>
      <c r="R974" s="152" t="s">
        <v>118</v>
      </c>
      <c r="S974" s="152" t="s">
        <v>118</v>
      </c>
      <c r="T974" s="152">
        <v>45664.381944444445</v>
      </c>
      <c r="U974" s="152">
        <v>45664.443055555559</v>
      </c>
      <c r="V974" s="219">
        <f t="shared" si="574"/>
        <v>0.16666666666424135</v>
      </c>
      <c r="W974" s="203">
        <v>0.20833333333333334</v>
      </c>
      <c r="X974" s="219" t="str">
        <f t="shared" si="575"/>
        <v>00:00</v>
      </c>
      <c r="Y974" s="96">
        <v>0</v>
      </c>
      <c r="Z974" s="96">
        <v>59</v>
      </c>
      <c r="AA974" s="96">
        <f t="shared" si="551"/>
        <v>59</v>
      </c>
      <c r="AB974" s="97">
        <f t="shared" si="552"/>
        <v>0</v>
      </c>
      <c r="AC974" s="97">
        <f t="shared" si="553"/>
        <v>4040.5000000000005</v>
      </c>
      <c r="AD974" s="98">
        <v>4040.5</v>
      </c>
      <c r="AE974" s="98">
        <v>4100.5</v>
      </c>
      <c r="AF974" s="98">
        <v>4105.6000000000004</v>
      </c>
      <c r="AG974" s="98">
        <f t="shared" si="554"/>
        <v>65.100000000000364</v>
      </c>
      <c r="AH974" s="99">
        <v>672.5</v>
      </c>
      <c r="AI974" s="100">
        <f t="shared" si="555"/>
        <v>2761016.0000000005</v>
      </c>
      <c r="AJ974" s="100">
        <f>(0.6*AH974)*2</f>
        <v>807</v>
      </c>
      <c r="AK974" s="100">
        <v>0</v>
      </c>
      <c r="AL974" s="100">
        <v>0</v>
      </c>
      <c r="AM974" s="100">
        <v>0</v>
      </c>
      <c r="AN974" s="100">
        <v>0</v>
      </c>
      <c r="AO974" s="100">
        <v>0</v>
      </c>
      <c r="AP974" s="100">
        <f t="shared" si="570"/>
        <v>138092</v>
      </c>
      <c r="AQ974" s="101">
        <f t="shared" si="573"/>
        <v>2899915</v>
      </c>
      <c r="AR974" s="101">
        <v>0</v>
      </c>
      <c r="AS974" s="101">
        <v>0</v>
      </c>
      <c r="AT974" s="102" t="s">
        <v>33</v>
      </c>
      <c r="AU974" s="109" t="s">
        <v>118</v>
      </c>
      <c r="AV974" s="100">
        <v>0</v>
      </c>
      <c r="AW974" s="105">
        <v>0</v>
      </c>
      <c r="AX974" s="216">
        <f t="shared" si="576"/>
        <v>1.5856391270459946</v>
      </c>
      <c r="AY974" s="217">
        <f t="shared" si="577"/>
        <v>43780</v>
      </c>
      <c r="AZ974" s="107"/>
      <c r="BA974" s="94">
        <v>45664.15625</v>
      </c>
      <c r="BB974" s="94">
        <v>45664.159722222219</v>
      </c>
      <c r="BC974" s="94">
        <v>45664.180555555555</v>
      </c>
      <c r="BD974" s="94">
        <v>45664.309027777781</v>
      </c>
      <c r="BE974" s="95">
        <f t="shared" si="578"/>
        <v>0.15277777778101154</v>
      </c>
      <c r="BF974" s="95">
        <v>0</v>
      </c>
      <c r="BG974" s="95">
        <v>2.0833333333333332E-2</v>
      </c>
      <c r="BH974" s="95">
        <f t="shared" si="579"/>
        <v>3.4722222189884633E-3</v>
      </c>
      <c r="BI974" s="95">
        <f t="shared" si="579"/>
        <v>2.0833333335758653E-2</v>
      </c>
      <c r="BJ974" s="95">
        <f t="shared" si="579"/>
        <v>0.12847222222626442</v>
      </c>
      <c r="BK974" s="95">
        <f t="shared" si="580"/>
        <v>0.14930555556202307</v>
      </c>
      <c r="BL974" s="95">
        <f t="shared" si="581"/>
        <v>0.12847222222868973</v>
      </c>
      <c r="BM974" s="95" t="str">
        <f t="shared" si="582"/>
        <v>00:00</v>
      </c>
      <c r="BN974" s="110"/>
    </row>
    <row r="975" spans="1:66" s="8" customFormat="1" ht="12.75" customHeight="1" x14ac:dyDescent="0.25">
      <c r="A975" s="150">
        <v>896</v>
      </c>
      <c r="B975" s="150">
        <v>22</v>
      </c>
      <c r="C975" s="90">
        <v>4</v>
      </c>
      <c r="D975" s="111" t="s">
        <v>113</v>
      </c>
      <c r="E975" s="210" t="s">
        <v>1024</v>
      </c>
      <c r="F975" s="150" t="s">
        <v>32</v>
      </c>
      <c r="G975" s="150" t="s">
        <v>15</v>
      </c>
      <c r="H975" s="150" t="s">
        <v>135</v>
      </c>
      <c r="I975" s="150" t="s">
        <v>1048</v>
      </c>
      <c r="J975" s="151">
        <v>45664</v>
      </c>
      <c r="K975" s="135" t="s">
        <v>117</v>
      </c>
      <c r="L975" s="135">
        <v>261006171</v>
      </c>
      <c r="M975" s="151">
        <v>45664</v>
      </c>
      <c r="N975" s="152">
        <v>45664.40625</v>
      </c>
      <c r="O975" s="152">
        <v>45664.40625</v>
      </c>
      <c r="P975" s="152">
        <v>45664.409722222219</v>
      </c>
      <c r="Q975" s="152">
        <v>45664.583333333336</v>
      </c>
      <c r="R975" s="152" t="s">
        <v>118</v>
      </c>
      <c r="S975" s="152" t="s">
        <v>118</v>
      </c>
      <c r="T975" s="152">
        <v>45664.666666666664</v>
      </c>
      <c r="U975" s="152">
        <v>45664.732638888891</v>
      </c>
      <c r="V975" s="219">
        <f t="shared" si="574"/>
        <v>0.17708333333575865</v>
      </c>
      <c r="W975" s="203">
        <v>0.20833333333333334</v>
      </c>
      <c r="X975" s="219" t="str">
        <f t="shared" si="575"/>
        <v>00:00</v>
      </c>
      <c r="Y975" s="96">
        <v>0</v>
      </c>
      <c r="Z975" s="96">
        <v>59</v>
      </c>
      <c r="AA975" s="96">
        <f t="shared" si="551"/>
        <v>59</v>
      </c>
      <c r="AB975" s="97">
        <f t="shared" si="552"/>
        <v>0</v>
      </c>
      <c r="AC975" s="97">
        <f t="shared" si="553"/>
        <v>3971.7699999999995</v>
      </c>
      <c r="AD975" s="98">
        <v>3971.77</v>
      </c>
      <c r="AE975" s="98">
        <v>4092.9</v>
      </c>
      <c r="AF975" s="98">
        <v>4095</v>
      </c>
      <c r="AG975" s="98">
        <f t="shared" si="554"/>
        <v>123.23000000000002</v>
      </c>
      <c r="AH975" s="99">
        <v>797.2</v>
      </c>
      <c r="AI975" s="100">
        <f t="shared" si="555"/>
        <v>3264534</v>
      </c>
      <c r="AJ975" s="100">
        <f>(0.2*AH975)*2</f>
        <v>318.88000000000005</v>
      </c>
      <c r="AK975" s="100">
        <v>0</v>
      </c>
      <c r="AL975" s="100">
        <v>0</v>
      </c>
      <c r="AM975" s="100">
        <v>0</v>
      </c>
      <c r="AN975" s="100">
        <v>0</v>
      </c>
      <c r="AO975" s="100">
        <v>0</v>
      </c>
      <c r="AP975" s="100">
        <f t="shared" si="570"/>
        <v>163243</v>
      </c>
      <c r="AQ975" s="101">
        <f t="shared" si="573"/>
        <v>3428096</v>
      </c>
      <c r="AR975" s="101">
        <v>0</v>
      </c>
      <c r="AS975" s="101">
        <v>0</v>
      </c>
      <c r="AT975" s="102" t="s">
        <v>33</v>
      </c>
      <c r="AU975" s="109" t="s">
        <v>118</v>
      </c>
      <c r="AV975" s="100">
        <v>0</v>
      </c>
      <c r="AW975" s="105">
        <v>0</v>
      </c>
      <c r="AX975" s="216">
        <f t="shared" si="576"/>
        <v>3.0092796092796097</v>
      </c>
      <c r="AY975" s="217">
        <f t="shared" si="577"/>
        <v>98239</v>
      </c>
      <c r="AZ975" s="107"/>
      <c r="BA975" s="94">
        <v>45664.40625</v>
      </c>
      <c r="BB975" s="94">
        <v>45664.409722222219</v>
      </c>
      <c r="BC975" s="94">
        <v>45664.416666666664</v>
      </c>
      <c r="BD975" s="94">
        <v>45664.565972222219</v>
      </c>
      <c r="BE975" s="95">
        <f t="shared" si="578"/>
        <v>0.15972222221898846</v>
      </c>
      <c r="BF975" s="95">
        <v>6.2500000000000003E-3</v>
      </c>
      <c r="BG975" s="95">
        <v>4.2361111111111113E-2</v>
      </c>
      <c r="BH975" s="95">
        <f t="shared" si="579"/>
        <v>3.4722222189884633E-3</v>
      </c>
      <c r="BI975" s="95">
        <f t="shared" si="579"/>
        <v>6.9444444452528842E-3</v>
      </c>
      <c r="BJ975" s="95">
        <f t="shared" si="579"/>
        <v>0.14930555555474712</v>
      </c>
      <c r="BK975" s="95">
        <f t="shared" si="580"/>
        <v>0.15625</v>
      </c>
      <c r="BL975" s="95">
        <f t="shared" si="581"/>
        <v>0.10763888888888888</v>
      </c>
      <c r="BM975" s="95" t="str">
        <f t="shared" si="582"/>
        <v>00:00</v>
      </c>
      <c r="BN975" s="110"/>
    </row>
    <row r="976" spans="1:66" s="8" customFormat="1" ht="12.75" customHeight="1" x14ac:dyDescent="0.25">
      <c r="A976" s="150">
        <v>897</v>
      </c>
      <c r="B976" s="150">
        <v>23</v>
      </c>
      <c r="C976" s="90">
        <v>15</v>
      </c>
      <c r="D976" s="111" t="s">
        <v>148</v>
      </c>
      <c r="E976" s="210" t="s">
        <v>1040</v>
      </c>
      <c r="F976" s="150" t="s">
        <v>16</v>
      </c>
      <c r="G976" s="150" t="s">
        <v>17</v>
      </c>
      <c r="H976" s="150" t="s">
        <v>150</v>
      </c>
      <c r="I976" s="150" t="s">
        <v>512</v>
      </c>
      <c r="J976" s="151">
        <v>45663</v>
      </c>
      <c r="K976" s="135" t="s">
        <v>122</v>
      </c>
      <c r="L976" s="135">
        <v>461000654</v>
      </c>
      <c r="M976" s="151">
        <v>45665</v>
      </c>
      <c r="N976" s="152">
        <v>45664.614583333336</v>
      </c>
      <c r="O976" s="152">
        <v>45664.614583333336</v>
      </c>
      <c r="P976" s="152">
        <v>45664.618055555555</v>
      </c>
      <c r="Q976" s="152">
        <v>45664.8125</v>
      </c>
      <c r="R976" s="152" t="s">
        <v>118</v>
      </c>
      <c r="S976" s="152" t="s">
        <v>118</v>
      </c>
      <c r="T976" s="152">
        <v>45664.895833333336</v>
      </c>
      <c r="U976" s="152">
        <v>45665.159722222219</v>
      </c>
      <c r="V976" s="219">
        <f t="shared" si="574"/>
        <v>0.19791666666424135</v>
      </c>
      <c r="W976" s="203">
        <v>0.20833333333333334</v>
      </c>
      <c r="X976" s="219" t="str">
        <f t="shared" si="575"/>
        <v>00:00</v>
      </c>
      <c r="Y976" s="96">
        <v>0</v>
      </c>
      <c r="Z976" s="96">
        <v>57</v>
      </c>
      <c r="AA976" s="96">
        <f t="shared" si="551"/>
        <v>57</v>
      </c>
      <c r="AB976" s="97">
        <f t="shared" si="552"/>
        <v>0</v>
      </c>
      <c r="AC976" s="97">
        <f t="shared" si="553"/>
        <v>3962.29</v>
      </c>
      <c r="AD976" s="98">
        <v>3962.29</v>
      </c>
      <c r="AE976" s="98">
        <v>3973.6</v>
      </c>
      <c r="AF976" s="98">
        <v>3990.8</v>
      </c>
      <c r="AG976" s="98">
        <f t="shared" si="554"/>
        <v>28.510000000000218</v>
      </c>
      <c r="AH976" s="99">
        <v>672.5</v>
      </c>
      <c r="AI976" s="100">
        <f t="shared" si="555"/>
        <v>2683813</v>
      </c>
      <c r="AJ976" s="100">
        <f>(0*AH976)*2</f>
        <v>0</v>
      </c>
      <c r="AK976" s="100">
        <v>0</v>
      </c>
      <c r="AL976" s="100">
        <v>23990</v>
      </c>
      <c r="AM976" s="100">
        <v>0</v>
      </c>
      <c r="AN976" s="100">
        <v>0</v>
      </c>
      <c r="AO976" s="100">
        <v>0</v>
      </c>
      <c r="AP976" s="100">
        <f t="shared" si="570"/>
        <v>135391</v>
      </c>
      <c r="AQ976" s="101">
        <f t="shared" si="573"/>
        <v>2843194</v>
      </c>
      <c r="AR976" s="101">
        <v>0</v>
      </c>
      <c r="AS976" s="101">
        <v>0</v>
      </c>
      <c r="AT976" s="102" t="s">
        <v>33</v>
      </c>
      <c r="AU976" s="109">
        <v>14</v>
      </c>
      <c r="AV976" s="100">
        <f>23.94-13.94</f>
        <v>10.000000000000002</v>
      </c>
      <c r="AW976" s="105">
        <v>0</v>
      </c>
      <c r="AX976" s="216">
        <f t="shared" si="576"/>
        <v>0.71439310413952628</v>
      </c>
      <c r="AY976" s="217">
        <f t="shared" si="577"/>
        <v>19173</v>
      </c>
      <c r="AZ976" s="107"/>
      <c r="BA976" s="94">
        <v>45664.614583333336</v>
      </c>
      <c r="BB976" s="94">
        <v>45664.618055555555</v>
      </c>
      <c r="BC976" s="94">
        <v>45664.642361111109</v>
      </c>
      <c r="BD976" s="94">
        <v>45664.772222222222</v>
      </c>
      <c r="BE976" s="95">
        <f t="shared" si="578"/>
        <v>0.15763888888614019</v>
      </c>
      <c r="BF976" s="95">
        <v>4.8611111111111112E-3</v>
      </c>
      <c r="BG976" s="95">
        <v>2.9166666666666667E-2</v>
      </c>
      <c r="BH976" s="95">
        <f t="shared" si="579"/>
        <v>3.4722222189884633E-3</v>
      </c>
      <c r="BI976" s="95">
        <f t="shared" si="579"/>
        <v>2.4305555554747116E-2</v>
      </c>
      <c r="BJ976" s="95">
        <f t="shared" si="579"/>
        <v>0.12986111111240461</v>
      </c>
      <c r="BK976" s="95">
        <f t="shared" si="580"/>
        <v>0.15416666666715173</v>
      </c>
      <c r="BL976" s="95">
        <f t="shared" si="581"/>
        <v>0.12013888888937393</v>
      </c>
      <c r="BM976" s="95" t="str">
        <f t="shared" si="582"/>
        <v>00:00</v>
      </c>
      <c r="BN976" s="110"/>
    </row>
    <row r="977" spans="1:66" s="8" customFormat="1" ht="12.75" customHeight="1" x14ac:dyDescent="0.25">
      <c r="A977" s="150">
        <v>898</v>
      </c>
      <c r="B977" s="150">
        <v>24</v>
      </c>
      <c r="C977" s="90">
        <v>14</v>
      </c>
      <c r="D977" s="111" t="s">
        <v>113</v>
      </c>
      <c r="E977" s="210" t="s">
        <v>985</v>
      </c>
      <c r="F977" s="150" t="s">
        <v>27</v>
      </c>
      <c r="G977" s="150" t="s">
        <v>12</v>
      </c>
      <c r="H977" s="150" t="s">
        <v>115</v>
      </c>
      <c r="I977" s="150" t="s">
        <v>1049</v>
      </c>
      <c r="J977" s="151">
        <v>45664</v>
      </c>
      <c r="K977" s="135" t="s">
        <v>117</v>
      </c>
      <c r="L977" s="135">
        <v>282001100</v>
      </c>
      <c r="M977" s="151">
        <v>45665</v>
      </c>
      <c r="N977" s="152">
        <v>45665</v>
      </c>
      <c r="O977" s="152">
        <v>45664.989583333336</v>
      </c>
      <c r="P977" s="152">
        <v>45665.006944444445</v>
      </c>
      <c r="Q977" s="152">
        <v>45665.1875</v>
      </c>
      <c r="R977" s="152">
        <v>45665</v>
      </c>
      <c r="S977" s="152" t="s">
        <v>118</v>
      </c>
      <c r="T977" s="152">
        <v>45665.298611111109</v>
      </c>
      <c r="U977" s="152">
        <v>45665.373611111114</v>
      </c>
      <c r="V977" s="219">
        <f t="shared" si="574"/>
        <v>0.19791666666424135</v>
      </c>
      <c r="W977" s="203">
        <v>0.20833333333333334</v>
      </c>
      <c r="X977" s="219" t="str">
        <f t="shared" si="575"/>
        <v>00:00</v>
      </c>
      <c r="Y977" s="96">
        <v>1</v>
      </c>
      <c r="Z977" s="96">
        <v>57</v>
      </c>
      <c r="AA977" s="96">
        <f t="shared" si="551"/>
        <v>58</v>
      </c>
      <c r="AB977" s="97">
        <f t="shared" si="552"/>
        <v>69.58620689655173</v>
      </c>
      <c r="AC977" s="97">
        <f t="shared" si="553"/>
        <v>3966.4137931034484</v>
      </c>
      <c r="AD977" s="98">
        <v>4036</v>
      </c>
      <c r="AE977" s="98">
        <v>4060</v>
      </c>
      <c r="AF977" s="98">
        <v>4073.2</v>
      </c>
      <c r="AG977" s="98">
        <f t="shared" si="554"/>
        <v>37.199999999999818</v>
      </c>
      <c r="AH977" s="99">
        <v>1586.7</v>
      </c>
      <c r="AI977" s="100">
        <f t="shared" si="555"/>
        <v>6462946.4399999995</v>
      </c>
      <c r="AJ977" s="100">
        <f>(2.2*AH977)*2</f>
        <v>6981.4800000000005</v>
      </c>
      <c r="AK977" s="100">
        <v>0</v>
      </c>
      <c r="AL977" s="100">
        <v>0</v>
      </c>
      <c r="AM977" s="100">
        <v>0</v>
      </c>
      <c r="AN977" s="100">
        <v>0</v>
      </c>
      <c r="AO977" s="100">
        <f>IFERROR(AF977*20+(((AJ977/AH977)/2)*20),0)</f>
        <v>81508</v>
      </c>
      <c r="AP977" s="100">
        <f t="shared" si="570"/>
        <v>327572</v>
      </c>
      <c r="AQ977" s="101">
        <f t="shared" si="573"/>
        <v>6879008</v>
      </c>
      <c r="AR977" s="101">
        <v>0</v>
      </c>
      <c r="AS977" s="101">
        <v>0</v>
      </c>
      <c r="AT977" s="102" t="s">
        <v>33</v>
      </c>
      <c r="AU977" s="109" t="s">
        <v>118</v>
      </c>
      <c r="AV977" s="100">
        <v>0</v>
      </c>
      <c r="AW977" s="105">
        <v>0</v>
      </c>
      <c r="AX977" s="216">
        <f t="shared" si="576"/>
        <v>0.91328685063340409</v>
      </c>
      <c r="AY977" s="217">
        <f t="shared" si="577"/>
        <v>59026</v>
      </c>
      <c r="AZ977" s="107"/>
      <c r="BA977" s="94">
        <v>45665</v>
      </c>
      <c r="BB977" s="94">
        <v>45665.006944444445</v>
      </c>
      <c r="BC977" s="94">
        <v>45665.010416666664</v>
      </c>
      <c r="BD977" s="94">
        <v>45665.180555555555</v>
      </c>
      <c r="BE977" s="95">
        <f t="shared" si="578"/>
        <v>0.18055555555474712</v>
      </c>
      <c r="BF977" s="95">
        <v>1.4583333333333334E-2</v>
      </c>
      <c r="BG977" s="95">
        <v>4.4444444444444446E-2</v>
      </c>
      <c r="BH977" s="95">
        <f t="shared" si="579"/>
        <v>6.9444444452528842E-3</v>
      </c>
      <c r="BI977" s="95">
        <f t="shared" si="579"/>
        <v>3.4722222189884633E-3</v>
      </c>
      <c r="BJ977" s="95">
        <f t="shared" si="579"/>
        <v>0.17013888889050577</v>
      </c>
      <c r="BK977" s="95">
        <f t="shared" si="580"/>
        <v>0.17361111110949423</v>
      </c>
      <c r="BL977" s="95">
        <f t="shared" si="581"/>
        <v>0.11458333333171644</v>
      </c>
      <c r="BM977" s="95" t="str">
        <f t="shared" si="582"/>
        <v>00:00</v>
      </c>
      <c r="BN977" s="110"/>
    </row>
    <row r="978" spans="1:66" s="8" customFormat="1" ht="12.75" customHeight="1" x14ac:dyDescent="0.25">
      <c r="A978" s="150">
        <v>899</v>
      </c>
      <c r="B978" s="150">
        <v>25</v>
      </c>
      <c r="C978" s="90">
        <v>16</v>
      </c>
      <c r="D978" s="111" t="s">
        <v>148</v>
      </c>
      <c r="E978" s="210" t="s">
        <v>1040</v>
      </c>
      <c r="F978" s="150" t="s">
        <v>16</v>
      </c>
      <c r="G978" s="150" t="s">
        <v>17</v>
      </c>
      <c r="H978" s="150" t="s">
        <v>150</v>
      </c>
      <c r="I978" s="150" t="s">
        <v>513</v>
      </c>
      <c r="J978" s="151">
        <v>45663</v>
      </c>
      <c r="K978" s="135" t="s">
        <v>122</v>
      </c>
      <c r="L978" s="135">
        <v>461000655</v>
      </c>
      <c r="M978" s="151">
        <v>45665</v>
      </c>
      <c r="N978" s="152">
        <v>45665.354166666664</v>
      </c>
      <c r="O978" s="152">
        <v>45665.354166666664</v>
      </c>
      <c r="P978" s="152">
        <v>45665.364583333336</v>
      </c>
      <c r="Q978" s="152">
        <v>45665.541666666664</v>
      </c>
      <c r="R978" s="152" t="s">
        <v>118</v>
      </c>
      <c r="S978" s="152" t="s">
        <v>118</v>
      </c>
      <c r="T978" s="152">
        <v>45665.583333333336</v>
      </c>
      <c r="U978" s="152">
        <v>45665.666666666664</v>
      </c>
      <c r="V978" s="219">
        <f t="shared" si="574"/>
        <v>0.1875</v>
      </c>
      <c r="W978" s="203">
        <v>0.20833333333333334</v>
      </c>
      <c r="X978" s="219" t="str">
        <f t="shared" si="575"/>
        <v>00:00</v>
      </c>
      <c r="Y978" s="96">
        <v>0</v>
      </c>
      <c r="Z978" s="96">
        <v>59</v>
      </c>
      <c r="AA978" s="96">
        <f t="shared" si="551"/>
        <v>59</v>
      </c>
      <c r="AB978" s="97">
        <f t="shared" si="552"/>
        <v>0</v>
      </c>
      <c r="AC978" s="97">
        <f t="shared" si="553"/>
        <v>4037.34</v>
      </c>
      <c r="AD978" s="98">
        <v>4037.34</v>
      </c>
      <c r="AE978" s="98">
        <v>4099.8999999999996</v>
      </c>
      <c r="AF978" s="98">
        <v>4104.3999999999996</v>
      </c>
      <c r="AG978" s="98">
        <f t="shared" si="554"/>
        <v>67.059999999999491</v>
      </c>
      <c r="AH978" s="99">
        <v>672.5</v>
      </c>
      <c r="AI978" s="100">
        <f t="shared" si="555"/>
        <v>2760208.9999999995</v>
      </c>
      <c r="AJ978" s="100">
        <f>(0.4*AH978)*2</f>
        <v>538</v>
      </c>
      <c r="AK978" s="100">
        <v>0</v>
      </c>
      <c r="AL978" s="100">
        <v>0</v>
      </c>
      <c r="AM978" s="100">
        <v>0</v>
      </c>
      <c r="AN978" s="100">
        <v>0</v>
      </c>
      <c r="AO978" s="100">
        <v>0</v>
      </c>
      <c r="AP978" s="100">
        <f t="shared" si="570"/>
        <v>138038</v>
      </c>
      <c r="AQ978" s="101">
        <f t="shared" si="573"/>
        <v>2898785</v>
      </c>
      <c r="AR978" s="101">
        <v>0</v>
      </c>
      <c r="AS978" s="101">
        <v>0</v>
      </c>
      <c r="AT978" s="102" t="s">
        <v>33</v>
      </c>
      <c r="AU978" s="109" t="s">
        <v>118</v>
      </c>
      <c r="AV978" s="100">
        <v>0</v>
      </c>
      <c r="AW978" s="105">
        <v>0</v>
      </c>
      <c r="AX978" s="216">
        <f t="shared" si="576"/>
        <v>1.6338563492836835</v>
      </c>
      <c r="AY978" s="217">
        <f t="shared" si="577"/>
        <v>45098</v>
      </c>
      <c r="AZ978" s="107"/>
      <c r="BA978" s="94">
        <v>45665.354166666664</v>
      </c>
      <c r="BB978" s="94">
        <v>45665.364583333336</v>
      </c>
      <c r="BC978" s="94">
        <v>45665.371527777781</v>
      </c>
      <c r="BD978" s="94">
        <v>45665.503472222219</v>
      </c>
      <c r="BE978" s="95">
        <f t="shared" si="578"/>
        <v>0.14930555555474712</v>
      </c>
      <c r="BF978" s="95">
        <v>1.4583333333333334E-2</v>
      </c>
      <c r="BG978" s="95">
        <v>0</v>
      </c>
      <c r="BH978" s="95">
        <f t="shared" si="579"/>
        <v>1.0416666671517305E-2</v>
      </c>
      <c r="BI978" s="95">
        <f t="shared" si="579"/>
        <v>6.9444444452528842E-3</v>
      </c>
      <c r="BJ978" s="95">
        <f t="shared" si="579"/>
        <v>0.13194444443797693</v>
      </c>
      <c r="BK978" s="95">
        <f t="shared" si="580"/>
        <v>0.13888888888322981</v>
      </c>
      <c r="BL978" s="95">
        <f t="shared" si="581"/>
        <v>0.12430555554989647</v>
      </c>
      <c r="BM978" s="95" t="str">
        <f t="shared" si="582"/>
        <v>00:00</v>
      </c>
      <c r="BN978" s="110"/>
    </row>
    <row r="979" spans="1:66" s="8" customFormat="1" ht="12.75" customHeight="1" x14ac:dyDescent="0.25">
      <c r="A979" s="150">
        <v>900</v>
      </c>
      <c r="B979" s="150">
        <v>26</v>
      </c>
      <c r="C979" s="90">
        <v>17</v>
      </c>
      <c r="D979" s="111" t="s">
        <v>148</v>
      </c>
      <c r="E979" s="210" t="s">
        <v>1040</v>
      </c>
      <c r="F979" s="150" t="s">
        <v>16</v>
      </c>
      <c r="G979" s="150" t="s">
        <v>17</v>
      </c>
      <c r="H979" s="150" t="s">
        <v>150</v>
      </c>
      <c r="I979" s="150" t="s">
        <v>517</v>
      </c>
      <c r="J979" s="151">
        <v>45663</v>
      </c>
      <c r="K979" s="135" t="s">
        <v>117</v>
      </c>
      <c r="L979" s="135">
        <v>461000656</v>
      </c>
      <c r="M979" s="151">
        <v>45665</v>
      </c>
      <c r="N979" s="152">
        <v>45665.5625</v>
      </c>
      <c r="O979" s="152">
        <v>45665.5625</v>
      </c>
      <c r="P979" s="152">
        <v>45665.579861111109</v>
      </c>
      <c r="Q979" s="152">
        <v>45665.763888888891</v>
      </c>
      <c r="R979" s="152" t="s">
        <v>118</v>
      </c>
      <c r="S979" s="152" t="s">
        <v>118</v>
      </c>
      <c r="T979" s="152">
        <v>45665.791666666664</v>
      </c>
      <c r="U979" s="152">
        <v>45665.90625</v>
      </c>
      <c r="V979" s="219">
        <f t="shared" si="574"/>
        <v>0.20138888889050577</v>
      </c>
      <c r="W979" s="203">
        <v>0.20833333333333334</v>
      </c>
      <c r="X979" s="219" t="str">
        <f t="shared" si="575"/>
        <v>00:00</v>
      </c>
      <c r="Y979" s="96">
        <v>0</v>
      </c>
      <c r="Z979" s="96">
        <v>59</v>
      </c>
      <c r="AA979" s="96">
        <f t="shared" si="551"/>
        <v>59</v>
      </c>
      <c r="AB979" s="97">
        <f t="shared" si="552"/>
        <v>0</v>
      </c>
      <c r="AC979" s="97">
        <f t="shared" si="553"/>
        <v>4105.3599999999997</v>
      </c>
      <c r="AD979" s="98">
        <v>4105.3599999999997</v>
      </c>
      <c r="AE979" s="98">
        <v>4090.4</v>
      </c>
      <c r="AF979" s="98">
        <v>4123.3999999999996</v>
      </c>
      <c r="AG979" s="98">
        <f t="shared" si="554"/>
        <v>18.039999999999964</v>
      </c>
      <c r="AH979" s="99">
        <v>672.5</v>
      </c>
      <c r="AI979" s="100">
        <f t="shared" si="555"/>
        <v>2772986.4999999995</v>
      </c>
      <c r="AJ979" s="100">
        <f>(0*AH979)*2</f>
        <v>0</v>
      </c>
      <c r="AK979" s="100">
        <v>0</v>
      </c>
      <c r="AL979" s="100">
        <v>24290</v>
      </c>
      <c r="AM979" s="100">
        <v>0</v>
      </c>
      <c r="AN979" s="100">
        <v>0</v>
      </c>
      <c r="AO979" s="100">
        <v>0</v>
      </c>
      <c r="AP979" s="100">
        <f t="shared" si="570"/>
        <v>139864</v>
      </c>
      <c r="AQ979" s="101">
        <f t="shared" si="573"/>
        <v>2937141</v>
      </c>
      <c r="AR979" s="101">
        <v>0</v>
      </c>
      <c r="AS979" s="101">
        <v>0</v>
      </c>
      <c r="AT979" s="102" t="s">
        <v>33</v>
      </c>
      <c r="AU979" s="109">
        <v>24</v>
      </c>
      <c r="AV979" s="100">
        <f>46.03-27.53</f>
        <v>18.5</v>
      </c>
      <c r="AW979" s="105">
        <v>0</v>
      </c>
      <c r="AX979" s="216">
        <f t="shared" si="576"/>
        <v>0.43750303147887576</v>
      </c>
      <c r="AY979" s="217">
        <f t="shared" si="577"/>
        <v>12132</v>
      </c>
      <c r="AZ979" s="107"/>
      <c r="BA979" s="94">
        <v>45665.5625</v>
      </c>
      <c r="BB979" s="94">
        <v>45665.579861111109</v>
      </c>
      <c r="BC979" s="94">
        <v>45665.579861111109</v>
      </c>
      <c r="BD979" s="94">
        <v>45665.753472222219</v>
      </c>
      <c r="BE979" s="95">
        <f t="shared" si="578"/>
        <v>0.19097222221898846</v>
      </c>
      <c r="BF979" s="95">
        <v>3.6111111111111108E-2</v>
      </c>
      <c r="BG979" s="95">
        <v>6.2500000000000003E-3</v>
      </c>
      <c r="BH979" s="95">
        <f t="shared" si="579"/>
        <v>1.7361111109494232E-2</v>
      </c>
      <c r="BI979" s="95">
        <f t="shared" si="579"/>
        <v>0</v>
      </c>
      <c r="BJ979" s="95">
        <f t="shared" si="579"/>
        <v>0.17361111110949423</v>
      </c>
      <c r="BK979" s="95">
        <f t="shared" si="580"/>
        <v>0.17361111110949423</v>
      </c>
      <c r="BL979" s="95">
        <f t="shared" si="581"/>
        <v>0.13124999999838313</v>
      </c>
      <c r="BM979" s="95" t="str">
        <f t="shared" si="582"/>
        <v>00:00</v>
      </c>
      <c r="BN979" s="110"/>
    </row>
    <row r="980" spans="1:66" s="8" customFormat="1" ht="12.75" customHeight="1" x14ac:dyDescent="0.25">
      <c r="A980" s="150">
        <v>901</v>
      </c>
      <c r="B980" s="150">
        <v>27</v>
      </c>
      <c r="C980" s="90">
        <v>18</v>
      </c>
      <c r="D980" s="111" t="s">
        <v>148</v>
      </c>
      <c r="E980" s="210" t="s">
        <v>1040</v>
      </c>
      <c r="F980" s="150" t="s">
        <v>16</v>
      </c>
      <c r="G980" s="150" t="s">
        <v>17</v>
      </c>
      <c r="H980" s="150" t="s">
        <v>150</v>
      </c>
      <c r="I980" s="150" t="s">
        <v>519</v>
      </c>
      <c r="J980" s="151">
        <v>45664</v>
      </c>
      <c r="K980" s="135" t="s">
        <v>122</v>
      </c>
      <c r="L980" s="135">
        <v>461000657</v>
      </c>
      <c r="M980" s="151">
        <v>45666</v>
      </c>
      <c r="N980" s="152">
        <v>45665.729166666664</v>
      </c>
      <c r="O980" s="152">
        <v>45665.729166666664</v>
      </c>
      <c r="P980" s="152">
        <v>45665.732638888891</v>
      </c>
      <c r="Q980" s="152">
        <v>45665.916666666664</v>
      </c>
      <c r="R980" s="152" t="s">
        <v>118</v>
      </c>
      <c r="S980" s="152" t="s">
        <v>118</v>
      </c>
      <c r="T980" s="152">
        <v>45665.979166666664</v>
      </c>
      <c r="U980" s="152">
        <v>45666.159722222219</v>
      </c>
      <c r="V980" s="219">
        <f t="shared" si="574"/>
        <v>0.1875</v>
      </c>
      <c r="W980" s="203">
        <v>0.20833333333333334</v>
      </c>
      <c r="X980" s="219" t="str">
        <f t="shared" si="575"/>
        <v>00:00</v>
      </c>
      <c r="Y980" s="96">
        <v>0</v>
      </c>
      <c r="Z980" s="96">
        <v>58</v>
      </c>
      <c r="AA980" s="96">
        <f t="shared" si="551"/>
        <v>58</v>
      </c>
      <c r="AB980" s="97">
        <f t="shared" si="552"/>
        <v>0</v>
      </c>
      <c r="AC980" s="97">
        <f t="shared" si="553"/>
        <v>4019.71</v>
      </c>
      <c r="AD980" s="98">
        <v>4019.71</v>
      </c>
      <c r="AE980" s="98">
        <v>4052.8</v>
      </c>
      <c r="AF980" s="98">
        <v>4064</v>
      </c>
      <c r="AG980" s="98">
        <f t="shared" si="554"/>
        <v>44.289999999999964</v>
      </c>
      <c r="AH980" s="99">
        <v>672.5</v>
      </c>
      <c r="AI980" s="100">
        <f t="shared" si="555"/>
        <v>2733040</v>
      </c>
      <c r="AJ980" s="100">
        <f>(0*AH980)*2</f>
        <v>0</v>
      </c>
      <c r="AK980" s="100">
        <v>0</v>
      </c>
      <c r="AL980" s="100">
        <v>24140</v>
      </c>
      <c r="AM980" s="100">
        <v>0</v>
      </c>
      <c r="AN980" s="100">
        <v>0</v>
      </c>
      <c r="AO980" s="100">
        <v>0</v>
      </c>
      <c r="AP980" s="100">
        <f t="shared" si="570"/>
        <v>137859</v>
      </c>
      <c r="AQ980" s="101">
        <f t="shared" si="573"/>
        <v>2895039</v>
      </c>
      <c r="AR980" s="101">
        <v>0</v>
      </c>
      <c r="AS980" s="101">
        <v>0</v>
      </c>
      <c r="AT980" s="102" t="s">
        <v>33</v>
      </c>
      <c r="AU980" s="109">
        <v>5</v>
      </c>
      <c r="AV980" s="100">
        <f>16-10.5</f>
        <v>5.5</v>
      </c>
      <c r="AW980" s="105">
        <v>0</v>
      </c>
      <c r="AX980" s="216">
        <f t="shared" si="576"/>
        <v>1.0898129921259834</v>
      </c>
      <c r="AY980" s="217">
        <f t="shared" si="577"/>
        <v>29786</v>
      </c>
      <c r="AZ980" s="107"/>
      <c r="BA980" s="94">
        <v>45665.729166666664</v>
      </c>
      <c r="BB980" s="94">
        <v>45665.732638888891</v>
      </c>
      <c r="BC980" s="94">
        <v>45665.753472222219</v>
      </c>
      <c r="BD980" s="94">
        <v>45665.888888888891</v>
      </c>
      <c r="BE980" s="95">
        <f t="shared" si="578"/>
        <v>0.15972222222626442</v>
      </c>
      <c r="BF980" s="95">
        <v>0</v>
      </c>
      <c r="BG980" s="95">
        <v>2.4305555555555556E-2</v>
      </c>
      <c r="BH980" s="95">
        <f t="shared" si="579"/>
        <v>3.4722222262644209E-3</v>
      </c>
      <c r="BI980" s="95">
        <f t="shared" si="579"/>
        <v>2.0833333328482695E-2</v>
      </c>
      <c r="BJ980" s="95">
        <f t="shared" si="579"/>
        <v>0.13541666667151731</v>
      </c>
      <c r="BK980" s="95">
        <f t="shared" si="580"/>
        <v>0.15625</v>
      </c>
      <c r="BL980" s="95">
        <f t="shared" si="581"/>
        <v>0.13194444444444445</v>
      </c>
      <c r="BM980" s="95" t="str">
        <f t="shared" si="582"/>
        <v>00:00</v>
      </c>
      <c r="BN980" s="110"/>
    </row>
    <row r="981" spans="1:66" s="8" customFormat="1" ht="12.75" customHeight="1" x14ac:dyDescent="0.25">
      <c r="A981" s="150">
        <v>902</v>
      </c>
      <c r="B981" s="150">
        <v>28</v>
      </c>
      <c r="C981" s="90">
        <v>5</v>
      </c>
      <c r="D981" s="111" t="s">
        <v>113</v>
      </c>
      <c r="E981" s="210" t="s">
        <v>1024</v>
      </c>
      <c r="F981" s="150" t="s">
        <v>32</v>
      </c>
      <c r="G981" s="150" t="s">
        <v>15</v>
      </c>
      <c r="H981" s="150" t="s">
        <v>135</v>
      </c>
      <c r="I981" s="150" t="s">
        <v>1050</v>
      </c>
      <c r="J981" s="151">
        <v>45665</v>
      </c>
      <c r="K981" s="135" t="s">
        <v>117</v>
      </c>
      <c r="L981" s="135">
        <v>261006175</v>
      </c>
      <c r="M981" s="151">
        <v>45666</v>
      </c>
      <c r="N981" s="152">
        <v>45665.958333333336</v>
      </c>
      <c r="O981" s="152">
        <v>45665.958333333336</v>
      </c>
      <c r="P981" s="152">
        <v>45665.965277777781</v>
      </c>
      <c r="Q981" s="152">
        <v>45666.145833333336</v>
      </c>
      <c r="R981" s="152" t="s">
        <v>118</v>
      </c>
      <c r="S981" s="152" t="s">
        <v>118</v>
      </c>
      <c r="T981" s="152">
        <v>45666.354166666664</v>
      </c>
      <c r="U981" s="152">
        <v>45666.45208333333</v>
      </c>
      <c r="V981" s="219">
        <f t="shared" si="574"/>
        <v>0.1875</v>
      </c>
      <c r="W981" s="203">
        <v>0.20833333333333334</v>
      </c>
      <c r="X981" s="219" t="str">
        <f t="shared" si="575"/>
        <v>00:00</v>
      </c>
      <c r="Y981" s="96">
        <v>0</v>
      </c>
      <c r="Z981" s="96">
        <v>58</v>
      </c>
      <c r="AA981" s="96">
        <f t="shared" si="551"/>
        <v>58</v>
      </c>
      <c r="AB981" s="97">
        <f t="shared" si="552"/>
        <v>0</v>
      </c>
      <c r="AC981" s="97">
        <f t="shared" si="553"/>
        <v>3863.1400000000003</v>
      </c>
      <c r="AD981" s="98">
        <v>3863.14</v>
      </c>
      <c r="AE981" s="98">
        <v>4053</v>
      </c>
      <c r="AF981" s="98">
        <v>4053</v>
      </c>
      <c r="AG981" s="98">
        <f t="shared" si="554"/>
        <v>189.86000000000013</v>
      </c>
      <c r="AH981" s="99">
        <v>797.2</v>
      </c>
      <c r="AI981" s="100">
        <f t="shared" si="555"/>
        <v>3231051.6</v>
      </c>
      <c r="AJ981" s="100">
        <f>(0*AH981)*2</f>
        <v>0</v>
      </c>
      <c r="AK981" s="100">
        <v>0</v>
      </c>
      <c r="AL981" s="100">
        <v>0</v>
      </c>
      <c r="AM981" s="100">
        <v>0</v>
      </c>
      <c r="AN981" s="100">
        <v>0</v>
      </c>
      <c r="AO981" s="100">
        <v>0</v>
      </c>
      <c r="AP981" s="100">
        <f t="shared" si="570"/>
        <v>161553</v>
      </c>
      <c r="AQ981" s="101">
        <f t="shared" si="573"/>
        <v>3392605</v>
      </c>
      <c r="AR981" s="101">
        <v>0</v>
      </c>
      <c r="AS981" s="101">
        <v>0</v>
      </c>
      <c r="AT981" s="102" t="s">
        <v>33</v>
      </c>
      <c r="AU981" s="109" t="s">
        <v>118</v>
      </c>
      <c r="AV981" s="100">
        <v>0</v>
      </c>
      <c r="AW981" s="105">
        <v>0</v>
      </c>
      <c r="AX981" s="216">
        <f t="shared" si="576"/>
        <v>4.684431285467558</v>
      </c>
      <c r="AY981" s="217">
        <f t="shared" si="577"/>
        <v>151357</v>
      </c>
      <c r="AZ981" s="107"/>
      <c r="BA981" s="94">
        <v>45665.958333333336</v>
      </c>
      <c r="BB981" s="94">
        <v>45665.965277777781</v>
      </c>
      <c r="BC981" s="94">
        <v>45665.979166666664</v>
      </c>
      <c r="BD981" s="94">
        <v>45666.114583333336</v>
      </c>
      <c r="BE981" s="95">
        <f t="shared" si="578"/>
        <v>0.15625</v>
      </c>
      <c r="BF981" s="95">
        <v>1.3888888888888888E-2</v>
      </c>
      <c r="BG981" s="95">
        <v>3.4722222222222224E-2</v>
      </c>
      <c r="BH981" s="95">
        <f t="shared" si="579"/>
        <v>6.9444444452528842E-3</v>
      </c>
      <c r="BI981" s="95">
        <f t="shared" si="579"/>
        <v>1.3888888883229811E-2</v>
      </c>
      <c r="BJ981" s="95">
        <f t="shared" si="579"/>
        <v>0.13541666667151731</v>
      </c>
      <c r="BK981" s="95">
        <f t="shared" si="580"/>
        <v>0.14930555555474712</v>
      </c>
      <c r="BL981" s="95">
        <f t="shared" si="581"/>
        <v>0.100694444443636</v>
      </c>
      <c r="BM981" s="95" t="str">
        <f t="shared" si="582"/>
        <v>00:00</v>
      </c>
      <c r="BN981" s="110"/>
    </row>
    <row r="982" spans="1:66" s="8" customFormat="1" ht="12.75" customHeight="1" x14ac:dyDescent="0.25">
      <c r="A982" s="150">
        <v>903</v>
      </c>
      <c r="B982" s="150">
        <v>29</v>
      </c>
      <c r="C982" s="90">
        <v>1</v>
      </c>
      <c r="D982" s="111" t="s">
        <v>148</v>
      </c>
      <c r="E982" s="210" t="s">
        <v>1051</v>
      </c>
      <c r="F982" s="150" t="s">
        <v>19</v>
      </c>
      <c r="G982" s="150" t="s">
        <v>17</v>
      </c>
      <c r="H982" s="150" t="s">
        <v>150</v>
      </c>
      <c r="I982" s="150" t="s">
        <v>520</v>
      </c>
      <c r="J982" s="151">
        <v>45665</v>
      </c>
      <c r="K982" s="135" t="s">
        <v>122</v>
      </c>
      <c r="L982" s="135">
        <v>461000658</v>
      </c>
      <c r="M982" s="151">
        <v>45666</v>
      </c>
      <c r="N982" s="152">
        <v>45666.201388888891</v>
      </c>
      <c r="O982" s="152">
        <v>45666.1875</v>
      </c>
      <c r="P982" s="152">
        <v>45666.208333333336</v>
      </c>
      <c r="Q982" s="152">
        <v>45666.354166666664</v>
      </c>
      <c r="R982" s="152">
        <v>45666.201388888891</v>
      </c>
      <c r="S982" s="152" t="s">
        <v>118</v>
      </c>
      <c r="T982" s="152">
        <v>45666.5</v>
      </c>
      <c r="U982" s="152">
        <v>45666.652083333334</v>
      </c>
      <c r="V982" s="219">
        <f t="shared" si="574"/>
        <v>0.16666666666424135</v>
      </c>
      <c r="W982" s="203">
        <v>0.20833333333333334</v>
      </c>
      <c r="X982" s="219" t="str">
        <f t="shared" si="575"/>
        <v>00:00</v>
      </c>
      <c r="Y982" s="96">
        <v>0</v>
      </c>
      <c r="Z982" s="96">
        <v>59</v>
      </c>
      <c r="AA982" s="96">
        <f t="shared" si="551"/>
        <v>59</v>
      </c>
      <c r="AB982" s="97">
        <f t="shared" si="552"/>
        <v>0</v>
      </c>
      <c r="AC982" s="97">
        <f t="shared" si="553"/>
        <v>4020.47</v>
      </c>
      <c r="AD982" s="98">
        <v>4020.47</v>
      </c>
      <c r="AE982" s="98">
        <v>4127.3999999999996</v>
      </c>
      <c r="AF982" s="98">
        <v>4127.3999999999996</v>
      </c>
      <c r="AG982" s="98">
        <f t="shared" si="554"/>
        <v>106.92999999999984</v>
      </c>
      <c r="AH982" s="99">
        <v>672.5</v>
      </c>
      <c r="AI982" s="100">
        <f t="shared" si="555"/>
        <v>2775676.4999999995</v>
      </c>
      <c r="AJ982" s="100">
        <f>(0*AH982)*2</f>
        <v>0</v>
      </c>
      <c r="AK982" s="100">
        <v>0</v>
      </c>
      <c r="AL982" s="100">
        <v>0</v>
      </c>
      <c r="AM982" s="100">
        <v>0</v>
      </c>
      <c r="AN982" s="100">
        <v>0</v>
      </c>
      <c r="AO982" s="100">
        <v>0</v>
      </c>
      <c r="AP982" s="100">
        <f t="shared" si="570"/>
        <v>138784</v>
      </c>
      <c r="AQ982" s="101">
        <f t="shared" si="573"/>
        <v>2914461</v>
      </c>
      <c r="AR982" s="101">
        <v>0</v>
      </c>
      <c r="AS982" s="101">
        <v>0</v>
      </c>
      <c r="AT982" s="102" t="s">
        <v>33</v>
      </c>
      <c r="AU982" s="109" t="s">
        <v>118</v>
      </c>
      <c r="AV982" s="100">
        <v>0</v>
      </c>
      <c r="AW982" s="105">
        <v>0</v>
      </c>
      <c r="AX982" s="216">
        <f t="shared" si="576"/>
        <v>2.5907350874642594</v>
      </c>
      <c r="AY982" s="217">
        <f t="shared" si="577"/>
        <v>71911</v>
      </c>
      <c r="AZ982" s="107"/>
      <c r="BA982" s="94">
        <v>45666.201388888891</v>
      </c>
      <c r="BB982" s="94">
        <v>45666.208333333336</v>
      </c>
      <c r="BC982" s="94">
        <v>45666.208333333336</v>
      </c>
      <c r="BD982" s="94">
        <v>45666.322916666664</v>
      </c>
      <c r="BE982" s="95">
        <f t="shared" si="578"/>
        <v>0.12152777777373558</v>
      </c>
      <c r="BF982" s="95">
        <v>0</v>
      </c>
      <c r="BG982" s="95">
        <v>0</v>
      </c>
      <c r="BH982" s="95">
        <f t="shared" si="579"/>
        <v>6.9444444452528842E-3</v>
      </c>
      <c r="BI982" s="95">
        <f t="shared" si="579"/>
        <v>0</v>
      </c>
      <c r="BJ982" s="95">
        <f t="shared" si="579"/>
        <v>0.11458333332848269</v>
      </c>
      <c r="BK982" s="95">
        <f t="shared" si="580"/>
        <v>0.11458333332848269</v>
      </c>
      <c r="BL982" s="95">
        <f t="shared" si="581"/>
        <v>0.11458333332848269</v>
      </c>
      <c r="BM982" s="95" t="str">
        <f t="shared" si="582"/>
        <v>00:00</v>
      </c>
      <c r="BN982" s="110"/>
    </row>
    <row r="983" spans="1:66" s="8" customFormat="1" ht="12.75" customHeight="1" x14ac:dyDescent="0.25">
      <c r="A983" s="150">
        <v>904</v>
      </c>
      <c r="B983" s="150">
        <v>30</v>
      </c>
      <c r="C983" s="90">
        <v>15</v>
      </c>
      <c r="D983" s="111" t="s">
        <v>113</v>
      </c>
      <c r="E983" s="210" t="s">
        <v>991</v>
      </c>
      <c r="F983" s="150" t="s">
        <v>27</v>
      </c>
      <c r="G983" s="150" t="s">
        <v>12</v>
      </c>
      <c r="H983" s="150" t="s">
        <v>115</v>
      </c>
      <c r="I983" s="150" t="s">
        <v>1052</v>
      </c>
      <c r="J983" s="151">
        <v>45666</v>
      </c>
      <c r="K983" s="135" t="s">
        <v>117</v>
      </c>
      <c r="L983" s="135">
        <v>282001104</v>
      </c>
      <c r="M983" s="151">
        <v>45667</v>
      </c>
      <c r="N983" s="152">
        <v>45666.631944444445</v>
      </c>
      <c r="O983" s="152">
        <v>45666.631944444445</v>
      </c>
      <c r="P983" s="152">
        <v>45666.649305555555</v>
      </c>
      <c r="Q983" s="152">
        <v>45666.791666666664</v>
      </c>
      <c r="R983" s="152" t="s">
        <v>118</v>
      </c>
      <c r="S983" s="152" t="s">
        <v>118</v>
      </c>
      <c r="T983" s="152">
        <v>45666.8125</v>
      </c>
      <c r="U983" s="152">
        <v>45666.962500000001</v>
      </c>
      <c r="V983" s="219">
        <f t="shared" si="574"/>
        <v>0.15972222221898846</v>
      </c>
      <c r="W983" s="203">
        <v>0.20833333333333334</v>
      </c>
      <c r="X983" s="219" t="str">
        <f t="shared" si="575"/>
        <v>00:00</v>
      </c>
      <c r="Y983" s="96">
        <v>2</v>
      </c>
      <c r="Z983" s="96">
        <v>57</v>
      </c>
      <c r="AA983" s="96">
        <f t="shared" si="551"/>
        <v>59</v>
      </c>
      <c r="AB983" s="97">
        <f t="shared" si="552"/>
        <v>134.36949152542374</v>
      </c>
      <c r="AC983" s="97">
        <f t="shared" si="553"/>
        <v>3829.5305084745764</v>
      </c>
      <c r="AD983" s="98">
        <v>3963.9</v>
      </c>
      <c r="AE983" s="98">
        <v>4105.8</v>
      </c>
      <c r="AF983" s="98">
        <v>4107.6000000000004</v>
      </c>
      <c r="AG983" s="98">
        <f t="shared" si="554"/>
        <v>143.70000000000027</v>
      </c>
      <c r="AH983" s="99">
        <v>1586.7</v>
      </c>
      <c r="AI983" s="100">
        <f t="shared" si="555"/>
        <v>6517528.9200000009</v>
      </c>
      <c r="AJ983" s="100">
        <f>(0.2*AH983)*2</f>
        <v>634.68000000000006</v>
      </c>
      <c r="AK983" s="100">
        <v>0</v>
      </c>
      <c r="AL983" s="100">
        <v>0</v>
      </c>
      <c r="AM983" s="100">
        <v>0</v>
      </c>
      <c r="AN983" s="100">
        <v>0</v>
      </c>
      <c r="AO983" s="100">
        <f>IFERROR(AF983*20+(((AJ983/AH983)/2)*20),0)</f>
        <v>82156</v>
      </c>
      <c r="AP983" s="100">
        <f t="shared" ref="AP983:AP1011" si="583">ROUNDUP(SUM(AI983:AO983)*5%,0)</f>
        <v>330016</v>
      </c>
      <c r="AQ983" s="101">
        <f t="shared" si="573"/>
        <v>6930336</v>
      </c>
      <c r="AR983" s="101">
        <v>0</v>
      </c>
      <c r="AS983" s="101">
        <v>0</v>
      </c>
      <c r="AT983" s="102" t="s">
        <v>33</v>
      </c>
      <c r="AU983" s="109" t="s">
        <v>118</v>
      </c>
      <c r="AV983" s="100">
        <v>0</v>
      </c>
      <c r="AW983" s="105">
        <v>0</v>
      </c>
      <c r="AX983" s="216">
        <f t="shared" si="576"/>
        <v>3.498393222319609</v>
      </c>
      <c r="AY983" s="217">
        <f t="shared" si="577"/>
        <v>228009</v>
      </c>
      <c r="AZ983" s="107"/>
      <c r="BA983" s="94">
        <v>45666.631944444445</v>
      </c>
      <c r="BB983" s="94">
        <v>45666.645833333336</v>
      </c>
      <c r="BC983" s="94">
        <v>45666.659722222219</v>
      </c>
      <c r="BD983" s="94">
        <v>45666.786111111112</v>
      </c>
      <c r="BE983" s="95">
        <f t="shared" si="578"/>
        <v>0.15416666666715173</v>
      </c>
      <c r="BF983" s="95">
        <v>0</v>
      </c>
      <c r="BG983" s="95">
        <v>1.3888888888888888E-2</v>
      </c>
      <c r="BH983" s="95">
        <f t="shared" si="579"/>
        <v>1.3888888890505768E-2</v>
      </c>
      <c r="BI983" s="95">
        <f t="shared" si="579"/>
        <v>1.3888888883229811E-2</v>
      </c>
      <c r="BJ983" s="95">
        <f t="shared" si="579"/>
        <v>0.12638888889341615</v>
      </c>
      <c r="BK983" s="95">
        <f t="shared" si="580"/>
        <v>0.14027777777664596</v>
      </c>
      <c r="BL983" s="95">
        <f t="shared" si="581"/>
        <v>0.12638888888775707</v>
      </c>
      <c r="BM983" s="95" t="str">
        <f t="shared" si="582"/>
        <v>00:00</v>
      </c>
      <c r="BN983" s="110"/>
    </row>
    <row r="984" spans="1:66" s="8" customFormat="1" ht="12.75" customHeight="1" x14ac:dyDescent="0.25">
      <c r="A984" s="150">
        <v>905</v>
      </c>
      <c r="B984" s="150">
        <v>31</v>
      </c>
      <c r="C984" s="90">
        <v>2</v>
      </c>
      <c r="D984" s="111" t="s">
        <v>148</v>
      </c>
      <c r="E984" s="210" t="s">
        <v>1051</v>
      </c>
      <c r="F984" s="150" t="s">
        <v>19</v>
      </c>
      <c r="G984" s="150" t="s">
        <v>17</v>
      </c>
      <c r="H984" s="150" t="s">
        <v>150</v>
      </c>
      <c r="I984" s="150" t="s">
        <v>521</v>
      </c>
      <c r="J984" s="151">
        <v>45665</v>
      </c>
      <c r="K984" s="135" t="s">
        <v>122</v>
      </c>
      <c r="L984" s="135">
        <v>461000659</v>
      </c>
      <c r="M984" s="151">
        <v>45667</v>
      </c>
      <c r="N984" s="152">
        <v>45666.791666666664</v>
      </c>
      <c r="O984" s="152">
        <v>45666.791666666664</v>
      </c>
      <c r="P984" s="152">
        <v>45666.795138888891</v>
      </c>
      <c r="Q984" s="152">
        <v>45666.979166666664</v>
      </c>
      <c r="R984" s="152" t="s">
        <v>118</v>
      </c>
      <c r="S984" s="152" t="s">
        <v>118</v>
      </c>
      <c r="T984" s="152">
        <v>45667.083333333336</v>
      </c>
      <c r="U984" s="152">
        <v>45667.197916666664</v>
      </c>
      <c r="V984" s="219">
        <f t="shared" si="574"/>
        <v>0.1875</v>
      </c>
      <c r="W984" s="203">
        <v>0.20833333333333334</v>
      </c>
      <c r="X984" s="219" t="str">
        <f t="shared" si="575"/>
        <v>00:00</v>
      </c>
      <c r="Y984" s="96">
        <v>0</v>
      </c>
      <c r="Z984" s="96">
        <v>59</v>
      </c>
      <c r="AA984" s="96">
        <f t="shared" si="551"/>
        <v>59</v>
      </c>
      <c r="AB984" s="97">
        <f t="shared" si="552"/>
        <v>0</v>
      </c>
      <c r="AC984" s="97">
        <f t="shared" si="553"/>
        <v>4098.04</v>
      </c>
      <c r="AD984" s="98">
        <v>4098.04</v>
      </c>
      <c r="AE984" s="98">
        <v>4111.2</v>
      </c>
      <c r="AF984" s="98">
        <v>4128.8</v>
      </c>
      <c r="AG984" s="98">
        <f t="shared" si="554"/>
        <v>30.760000000000218</v>
      </c>
      <c r="AH984" s="99">
        <v>672.5</v>
      </c>
      <c r="AI984" s="100">
        <f t="shared" si="555"/>
        <v>2776618</v>
      </c>
      <c r="AJ984" s="100">
        <f>(0*AH984)*2</f>
        <v>0</v>
      </c>
      <c r="AK984" s="100">
        <v>0</v>
      </c>
      <c r="AL984" s="100">
        <v>24290</v>
      </c>
      <c r="AM984" s="100">
        <v>0</v>
      </c>
      <c r="AN984" s="100">
        <v>0</v>
      </c>
      <c r="AO984" s="100">
        <v>0</v>
      </c>
      <c r="AP984" s="100">
        <f t="shared" si="583"/>
        <v>140046</v>
      </c>
      <c r="AQ984" s="101">
        <f t="shared" si="573"/>
        <v>2940954</v>
      </c>
      <c r="AR984" s="101">
        <v>0</v>
      </c>
      <c r="AS984" s="101">
        <v>0</v>
      </c>
      <c r="AT984" s="102" t="s">
        <v>33</v>
      </c>
      <c r="AU984" s="109">
        <v>10</v>
      </c>
      <c r="AV984" s="100">
        <f>22.3-14.8</f>
        <v>7.5</v>
      </c>
      <c r="AW984" s="105">
        <v>0</v>
      </c>
      <c r="AX984" s="216">
        <f t="shared" si="576"/>
        <v>0.74501065684945311</v>
      </c>
      <c r="AY984" s="217">
        <f t="shared" si="577"/>
        <v>20687</v>
      </c>
      <c r="AZ984" s="107"/>
      <c r="BA984" s="94">
        <v>45666.791666666664</v>
      </c>
      <c r="BB984" s="94">
        <v>45666.795138888891</v>
      </c>
      <c r="BC984" s="94">
        <v>45666.8125</v>
      </c>
      <c r="BD984" s="94">
        <v>45666.951388888891</v>
      </c>
      <c r="BE984" s="95">
        <f t="shared" si="578"/>
        <v>0.15972222222626442</v>
      </c>
      <c r="BF984" s="95">
        <v>1.7361111111111112E-2</v>
      </c>
      <c r="BG984" s="95">
        <v>1.7361111111111112E-2</v>
      </c>
      <c r="BH984" s="95">
        <f t="shared" si="579"/>
        <v>3.4722222262644209E-3</v>
      </c>
      <c r="BI984" s="95">
        <f t="shared" si="579"/>
        <v>1.7361111109494232E-2</v>
      </c>
      <c r="BJ984" s="95">
        <f t="shared" si="579"/>
        <v>0.13888888889050577</v>
      </c>
      <c r="BK984" s="95">
        <f t="shared" si="580"/>
        <v>0.15625</v>
      </c>
      <c r="BL984" s="95">
        <f t="shared" si="581"/>
        <v>0.12152777777777779</v>
      </c>
      <c r="BM984" s="95" t="str">
        <f t="shared" si="582"/>
        <v>00:00</v>
      </c>
      <c r="BN984" s="110"/>
    </row>
    <row r="985" spans="1:66" s="8" customFormat="1" ht="12.75" customHeight="1" x14ac:dyDescent="0.25">
      <c r="A985" s="150">
        <v>906</v>
      </c>
      <c r="B985" s="150">
        <v>32</v>
      </c>
      <c r="C985" s="90">
        <v>13</v>
      </c>
      <c r="D985" s="111" t="s">
        <v>113</v>
      </c>
      <c r="E985" s="210" t="s">
        <v>996</v>
      </c>
      <c r="F985" s="150" t="s">
        <v>29</v>
      </c>
      <c r="G985" s="150" t="s">
        <v>15</v>
      </c>
      <c r="H985" s="150" t="s">
        <v>124</v>
      </c>
      <c r="I985" s="150" t="s">
        <v>1053</v>
      </c>
      <c r="J985" s="151">
        <v>45666</v>
      </c>
      <c r="K985" s="135" t="s">
        <v>117</v>
      </c>
      <c r="L985" s="135">
        <v>461000660</v>
      </c>
      <c r="M985" s="151">
        <v>45667</v>
      </c>
      <c r="N985" s="152">
        <v>45667.333333333336</v>
      </c>
      <c r="O985" s="152">
        <v>45667.333333333336</v>
      </c>
      <c r="P985" s="152">
        <v>45667.350694444445</v>
      </c>
      <c r="Q985" s="152">
        <v>45667.541666666664</v>
      </c>
      <c r="R985" s="152" t="s">
        <v>118</v>
      </c>
      <c r="S985" s="152" t="s">
        <v>118</v>
      </c>
      <c r="T985" s="152">
        <v>45667.604166666664</v>
      </c>
      <c r="U985" s="152">
        <v>45667.708333333336</v>
      </c>
      <c r="V985" s="219">
        <f t="shared" si="574"/>
        <v>0.20833333332848269</v>
      </c>
      <c r="W985" s="203">
        <v>0.20833333333333334</v>
      </c>
      <c r="X985" s="219" t="str">
        <f t="shared" si="575"/>
        <v>00:00</v>
      </c>
      <c r="Y985" s="96">
        <v>0</v>
      </c>
      <c r="Z985" s="96">
        <v>58</v>
      </c>
      <c r="AA985" s="96">
        <f t="shared" ref="AA985:AA1048" si="584">+Y985+Z985</f>
        <v>58</v>
      </c>
      <c r="AB985" s="97">
        <f t="shared" ref="AB985:AB1048" si="585">+AD985/AA985*Y985</f>
        <v>0</v>
      </c>
      <c r="AC985" s="97">
        <f t="shared" ref="AC985:AC1048" si="586">+AD985/AA985*Z985</f>
        <v>3913.2499999999995</v>
      </c>
      <c r="AD985" s="98">
        <v>3913.25</v>
      </c>
      <c r="AE985" s="98">
        <v>4024.6</v>
      </c>
      <c r="AF985" s="98">
        <v>4028.8</v>
      </c>
      <c r="AG985" s="98">
        <f t="shared" ref="AG985:AG1048" si="587">+AF985-AD985</f>
        <v>115.55000000000018</v>
      </c>
      <c r="AH985" s="99">
        <v>797.2</v>
      </c>
      <c r="AI985" s="100">
        <f t="shared" ref="AI985:AI1048" si="588">+AF985*AH985</f>
        <v>3211759.3600000003</v>
      </c>
      <c r="AJ985" s="100">
        <f>(0*AH985)*2</f>
        <v>0</v>
      </c>
      <c r="AK985" s="100">
        <v>0</v>
      </c>
      <c r="AL985" s="100">
        <v>24140</v>
      </c>
      <c r="AM985" s="100">
        <v>0</v>
      </c>
      <c r="AN985" s="100">
        <v>0</v>
      </c>
      <c r="AO985" s="100">
        <v>0</v>
      </c>
      <c r="AP985" s="100">
        <f t="shared" si="583"/>
        <v>161795</v>
      </c>
      <c r="AQ985" s="101">
        <f t="shared" si="573"/>
        <v>3397695</v>
      </c>
      <c r="AR985" s="101">
        <v>0</v>
      </c>
      <c r="AS985" s="101">
        <v>0</v>
      </c>
      <c r="AT985" s="102" t="s">
        <v>33</v>
      </c>
      <c r="AU985" s="109">
        <v>2</v>
      </c>
      <c r="AV985" s="100">
        <f>5.8-3.8</f>
        <v>2</v>
      </c>
      <c r="AW985" s="105">
        <v>0</v>
      </c>
      <c r="AX985" s="216">
        <f t="shared" si="576"/>
        <v>2.868099682287534</v>
      </c>
      <c r="AY985" s="217">
        <f t="shared" si="577"/>
        <v>92117</v>
      </c>
      <c r="AZ985" s="107"/>
      <c r="BA985" s="94">
        <v>45667.333333333336</v>
      </c>
      <c r="BB985" s="94">
        <v>45667.347222222219</v>
      </c>
      <c r="BC985" s="94">
        <v>45667.355555555558</v>
      </c>
      <c r="BD985" s="94">
        <v>45667.541666666664</v>
      </c>
      <c r="BE985" s="95">
        <f t="shared" si="578"/>
        <v>0.20833333332848269</v>
      </c>
      <c r="BF985" s="95">
        <v>8.3333333333333332E-3</v>
      </c>
      <c r="BG985" s="95">
        <v>7.3611111111111113E-2</v>
      </c>
      <c r="BH985" s="95">
        <f t="shared" si="579"/>
        <v>1.3888888883229811E-2</v>
      </c>
      <c r="BI985" s="95">
        <f t="shared" si="579"/>
        <v>8.3333333386690356E-3</v>
      </c>
      <c r="BJ985" s="95">
        <f t="shared" si="579"/>
        <v>0.18611111110658385</v>
      </c>
      <c r="BK985" s="95">
        <f t="shared" si="580"/>
        <v>0.19444444444525288</v>
      </c>
      <c r="BL985" s="95">
        <f t="shared" si="581"/>
        <v>0.11250000000080844</v>
      </c>
      <c r="BM985" s="95" t="str">
        <f t="shared" si="582"/>
        <v>00:00</v>
      </c>
      <c r="BN985" s="110"/>
    </row>
    <row r="986" spans="1:66" s="8" customFormat="1" ht="12.75" customHeight="1" x14ac:dyDescent="0.25">
      <c r="A986" s="150">
        <v>907</v>
      </c>
      <c r="B986" s="150">
        <v>33</v>
      </c>
      <c r="C986" s="90">
        <v>3</v>
      </c>
      <c r="D986" s="111" t="s">
        <v>148</v>
      </c>
      <c r="E986" s="210" t="s">
        <v>1051</v>
      </c>
      <c r="F986" s="150" t="s">
        <v>19</v>
      </c>
      <c r="G986" s="150" t="s">
        <v>17</v>
      </c>
      <c r="H986" s="150" t="s">
        <v>150</v>
      </c>
      <c r="I986" s="150" t="s">
        <v>523</v>
      </c>
      <c r="J986" s="151">
        <v>45665</v>
      </c>
      <c r="K986" s="135" t="s">
        <v>122</v>
      </c>
      <c r="L986" s="135">
        <v>461000661</v>
      </c>
      <c r="M986" s="151">
        <v>45667</v>
      </c>
      <c r="N986" s="152">
        <v>45667.520833333336</v>
      </c>
      <c r="O986" s="152">
        <v>45667.520833333336</v>
      </c>
      <c r="P986" s="152">
        <v>45667.524305555555</v>
      </c>
      <c r="Q986" s="152">
        <v>45667.708333333336</v>
      </c>
      <c r="R986" s="152" t="s">
        <v>118</v>
      </c>
      <c r="S986" s="152" t="s">
        <v>118</v>
      </c>
      <c r="T986" s="152">
        <v>45667.770833333336</v>
      </c>
      <c r="U986" s="152">
        <v>45667.916666666664</v>
      </c>
      <c r="V986" s="219">
        <f t="shared" si="574"/>
        <v>0.1875</v>
      </c>
      <c r="W986" s="203">
        <v>0.20833333333333334</v>
      </c>
      <c r="X986" s="219" t="str">
        <f t="shared" si="575"/>
        <v>00:00</v>
      </c>
      <c r="Y986" s="96">
        <v>0</v>
      </c>
      <c r="Z986" s="96">
        <v>58</v>
      </c>
      <c r="AA986" s="96">
        <f t="shared" si="584"/>
        <v>58</v>
      </c>
      <c r="AB986" s="97">
        <f t="shared" si="585"/>
        <v>0</v>
      </c>
      <c r="AC986" s="97">
        <f t="shared" si="586"/>
        <v>4052.35</v>
      </c>
      <c r="AD986" s="98">
        <v>4052.35</v>
      </c>
      <c r="AE986" s="98">
        <v>4049.4</v>
      </c>
      <c r="AF986" s="98">
        <v>4073.6</v>
      </c>
      <c r="AG986" s="98">
        <f t="shared" si="587"/>
        <v>21.25</v>
      </c>
      <c r="AH986" s="99">
        <v>672.5</v>
      </c>
      <c r="AI986" s="100">
        <f t="shared" si="588"/>
        <v>2739496</v>
      </c>
      <c r="AJ986" s="100">
        <f>(0*AH986)*2</f>
        <v>0</v>
      </c>
      <c r="AK986" s="100">
        <v>0</v>
      </c>
      <c r="AL986" s="100">
        <v>24140</v>
      </c>
      <c r="AM986" s="100">
        <v>0</v>
      </c>
      <c r="AN986" s="100">
        <v>0</v>
      </c>
      <c r="AO986" s="100">
        <v>0</v>
      </c>
      <c r="AP986" s="100">
        <f t="shared" si="583"/>
        <v>138182</v>
      </c>
      <c r="AQ986" s="101">
        <f t="shared" si="573"/>
        <v>2901818</v>
      </c>
      <c r="AR986" s="101">
        <v>0</v>
      </c>
      <c r="AS986" s="101">
        <v>0</v>
      </c>
      <c r="AT986" s="102" t="s">
        <v>33</v>
      </c>
      <c r="AU986" s="109">
        <v>11</v>
      </c>
      <c r="AV986" s="100">
        <f>28.48-18.53</f>
        <v>9.9499999999999993</v>
      </c>
      <c r="AW986" s="105">
        <v>0</v>
      </c>
      <c r="AX986" s="216">
        <f t="shared" si="576"/>
        <v>0.5216516103692066</v>
      </c>
      <c r="AY986" s="217">
        <f t="shared" si="577"/>
        <v>14291</v>
      </c>
      <c r="AZ986" s="107"/>
      <c r="BA986" s="94">
        <v>45667.520833333336</v>
      </c>
      <c r="BB986" s="94">
        <v>45667.524305555555</v>
      </c>
      <c r="BC986" s="94">
        <v>45667.552083333336</v>
      </c>
      <c r="BD986" s="94">
        <v>45667.680555555555</v>
      </c>
      <c r="BE986" s="95">
        <f t="shared" si="578"/>
        <v>0.15972222221898846</v>
      </c>
      <c r="BF986" s="95">
        <v>0</v>
      </c>
      <c r="BG986" s="95">
        <v>2.9861111111111113E-2</v>
      </c>
      <c r="BH986" s="95">
        <f t="shared" si="579"/>
        <v>3.4722222189884633E-3</v>
      </c>
      <c r="BI986" s="95">
        <f t="shared" si="579"/>
        <v>2.7777777781011537E-2</v>
      </c>
      <c r="BJ986" s="95">
        <f t="shared" si="579"/>
        <v>0.12847222221898846</v>
      </c>
      <c r="BK986" s="95">
        <f t="shared" si="580"/>
        <v>0.15625</v>
      </c>
      <c r="BL986" s="95">
        <f t="shared" si="581"/>
        <v>0.12638888888888888</v>
      </c>
      <c r="BM986" s="95" t="str">
        <f t="shared" si="582"/>
        <v>00:00</v>
      </c>
      <c r="BN986" s="110"/>
    </row>
    <row r="987" spans="1:66" s="8" customFormat="1" ht="12.75" customHeight="1" x14ac:dyDescent="0.25">
      <c r="A987" s="150">
        <v>908</v>
      </c>
      <c r="B987" s="150">
        <v>34</v>
      </c>
      <c r="C987" s="90">
        <v>19</v>
      </c>
      <c r="D987" s="111" t="s">
        <v>148</v>
      </c>
      <c r="E987" s="210" t="s">
        <v>1040</v>
      </c>
      <c r="F987" s="150" t="s">
        <v>16</v>
      </c>
      <c r="G987" s="150" t="s">
        <v>17</v>
      </c>
      <c r="H987" s="150" t="s">
        <v>150</v>
      </c>
      <c r="I987" s="150" t="s">
        <v>528</v>
      </c>
      <c r="J987" s="151">
        <v>45666</v>
      </c>
      <c r="K987" s="135" t="s">
        <v>117</v>
      </c>
      <c r="L987" s="135">
        <v>461000662</v>
      </c>
      <c r="M987" s="151">
        <v>45668</v>
      </c>
      <c r="N987" s="152">
        <v>45667.739583333336</v>
      </c>
      <c r="O987" s="152">
        <v>45667.739583333336</v>
      </c>
      <c r="P987" s="152">
        <v>45667.760416666664</v>
      </c>
      <c r="Q987" s="152">
        <v>45667.916666666664</v>
      </c>
      <c r="R987" s="152" t="s">
        <v>118</v>
      </c>
      <c r="S987" s="152" t="s">
        <v>118</v>
      </c>
      <c r="T987" s="152">
        <v>45668.055555555555</v>
      </c>
      <c r="U987" s="152">
        <v>45668.149305555555</v>
      </c>
      <c r="V987" s="219">
        <f t="shared" si="574"/>
        <v>0.17708333332848269</v>
      </c>
      <c r="W987" s="203">
        <v>0.20833333333333334</v>
      </c>
      <c r="X987" s="219" t="str">
        <f t="shared" si="575"/>
        <v>00:00</v>
      </c>
      <c r="Y987" s="96">
        <v>0</v>
      </c>
      <c r="Z987" s="96">
        <v>58</v>
      </c>
      <c r="AA987" s="96">
        <f t="shared" si="584"/>
        <v>58</v>
      </c>
      <c r="AB987" s="97">
        <f t="shared" si="585"/>
        <v>0</v>
      </c>
      <c r="AC987" s="97">
        <f t="shared" si="586"/>
        <v>4062.43</v>
      </c>
      <c r="AD987" s="98">
        <v>4062.43</v>
      </c>
      <c r="AE987" s="98">
        <v>4036</v>
      </c>
      <c r="AF987" s="98">
        <v>4072.4</v>
      </c>
      <c r="AG987" s="98">
        <f t="shared" si="587"/>
        <v>9.9700000000002547</v>
      </c>
      <c r="AH987" s="99">
        <v>672.5</v>
      </c>
      <c r="AI987" s="100">
        <f t="shared" si="588"/>
        <v>2738689</v>
      </c>
      <c r="AJ987" s="100">
        <f>(0*AH987)*2</f>
        <v>0</v>
      </c>
      <c r="AK987" s="100">
        <v>0</v>
      </c>
      <c r="AL987" s="100">
        <v>24140</v>
      </c>
      <c r="AM987" s="100">
        <v>0</v>
      </c>
      <c r="AN987" s="100">
        <v>0</v>
      </c>
      <c r="AO987" s="100">
        <v>0</v>
      </c>
      <c r="AP987" s="100">
        <f t="shared" si="583"/>
        <v>138142</v>
      </c>
      <c r="AQ987" s="101">
        <f t="shared" si="573"/>
        <v>2900971</v>
      </c>
      <c r="AR987" s="101">
        <v>0</v>
      </c>
      <c r="AS987" s="101">
        <v>0</v>
      </c>
      <c r="AT987" s="102" t="s">
        <v>33</v>
      </c>
      <c r="AU987" s="109">
        <v>22</v>
      </c>
      <c r="AV987" s="100">
        <f>47.02-30.02</f>
        <v>17.000000000000004</v>
      </c>
      <c r="AW987" s="105">
        <v>0</v>
      </c>
      <c r="AX987" s="216">
        <f t="shared" si="576"/>
        <v>0.24481878008054844</v>
      </c>
      <c r="AY987" s="217">
        <f t="shared" si="577"/>
        <v>6705</v>
      </c>
      <c r="AZ987" s="107"/>
      <c r="BA987" s="94">
        <v>45667.739583333336</v>
      </c>
      <c r="BB987" s="94">
        <v>45667.760416666664</v>
      </c>
      <c r="BC987" s="94">
        <v>45667.760416666664</v>
      </c>
      <c r="BD987" s="94">
        <v>45667.875</v>
      </c>
      <c r="BE987" s="95">
        <f t="shared" si="578"/>
        <v>0.13541666666424135</v>
      </c>
      <c r="BF987" s="95">
        <v>0</v>
      </c>
      <c r="BG987" s="95">
        <v>0</v>
      </c>
      <c r="BH987" s="95">
        <f t="shared" si="579"/>
        <v>2.0833333328482695E-2</v>
      </c>
      <c r="BI987" s="95">
        <f t="shared" si="579"/>
        <v>0</v>
      </c>
      <c r="BJ987" s="95">
        <f t="shared" si="579"/>
        <v>0.11458333333575865</v>
      </c>
      <c r="BK987" s="95">
        <f t="shared" si="580"/>
        <v>0.11458333333575865</v>
      </c>
      <c r="BL987" s="95">
        <f t="shared" si="581"/>
        <v>0.11458333333575865</v>
      </c>
      <c r="BM987" s="95" t="str">
        <f t="shared" si="582"/>
        <v>00:00</v>
      </c>
      <c r="BN987" s="110"/>
    </row>
    <row r="988" spans="1:66" s="8" customFormat="1" ht="12.75" customHeight="1" x14ac:dyDescent="0.25">
      <c r="A988" s="150">
        <v>909</v>
      </c>
      <c r="B988" s="150">
        <v>35</v>
      </c>
      <c r="C988" s="90">
        <v>4</v>
      </c>
      <c r="D988" s="111" t="s">
        <v>148</v>
      </c>
      <c r="E988" s="210" t="s">
        <v>1051</v>
      </c>
      <c r="F988" s="150" t="s">
        <v>19</v>
      </c>
      <c r="G988" s="150" t="s">
        <v>17</v>
      </c>
      <c r="H988" s="150" t="s">
        <v>150</v>
      </c>
      <c r="I988" s="150" t="s">
        <v>529</v>
      </c>
      <c r="J988" s="151">
        <v>45666</v>
      </c>
      <c r="K988" s="135" t="s">
        <v>122</v>
      </c>
      <c r="L988" s="135">
        <v>461000663</v>
      </c>
      <c r="M988" s="151">
        <v>45668</v>
      </c>
      <c r="N988" s="152">
        <v>45668.0625</v>
      </c>
      <c r="O988" s="152">
        <v>45668.0625</v>
      </c>
      <c r="P988" s="152">
        <v>45668.072916666664</v>
      </c>
      <c r="Q988" s="152">
        <v>45668.260416666664</v>
      </c>
      <c r="R988" s="152" t="s">
        <v>118</v>
      </c>
      <c r="S988" s="152" t="s">
        <v>118</v>
      </c>
      <c r="T988" s="152">
        <v>45668.34375</v>
      </c>
      <c r="U988" s="152">
        <v>45668.440972222219</v>
      </c>
      <c r="V988" s="219">
        <f t="shared" si="574"/>
        <v>0.19791666666424135</v>
      </c>
      <c r="W988" s="203">
        <v>0.20833333333333334</v>
      </c>
      <c r="X988" s="219" t="str">
        <f t="shared" si="575"/>
        <v>00:00</v>
      </c>
      <c r="Y988" s="96">
        <v>0</v>
      </c>
      <c r="Z988" s="96">
        <v>59</v>
      </c>
      <c r="AA988" s="96">
        <f t="shared" si="584"/>
        <v>59</v>
      </c>
      <c r="AB988" s="97">
        <f t="shared" si="585"/>
        <v>0</v>
      </c>
      <c r="AC988" s="97">
        <f t="shared" si="586"/>
        <v>4063.6300000000006</v>
      </c>
      <c r="AD988" s="98">
        <v>4063.63</v>
      </c>
      <c r="AE988" s="98">
        <v>4103.1000000000004</v>
      </c>
      <c r="AF988" s="98">
        <v>4114.6000000000004</v>
      </c>
      <c r="AG988" s="98">
        <f t="shared" si="587"/>
        <v>50.970000000000255</v>
      </c>
      <c r="AH988" s="99">
        <v>672.5</v>
      </c>
      <c r="AI988" s="100">
        <f t="shared" si="588"/>
        <v>2767068.5000000005</v>
      </c>
      <c r="AJ988" s="100">
        <f>(1.2*AH988)*2</f>
        <v>1614</v>
      </c>
      <c r="AK988" s="100">
        <v>0</v>
      </c>
      <c r="AL988" s="100">
        <v>0</v>
      </c>
      <c r="AM988" s="100">
        <v>0</v>
      </c>
      <c r="AN988" s="100">
        <v>0</v>
      </c>
      <c r="AO988" s="100">
        <v>0</v>
      </c>
      <c r="AP988" s="100">
        <f t="shared" si="583"/>
        <v>138435</v>
      </c>
      <c r="AQ988" s="101">
        <f t="shared" si="573"/>
        <v>2907118</v>
      </c>
      <c r="AR988" s="101">
        <v>0</v>
      </c>
      <c r="AS988" s="101">
        <v>0</v>
      </c>
      <c r="AT988" s="102" t="s">
        <v>33</v>
      </c>
      <c r="AU988" s="109" t="s">
        <v>118</v>
      </c>
      <c r="AV988" s="100">
        <v>0</v>
      </c>
      <c r="AW988" s="105">
        <v>0</v>
      </c>
      <c r="AX988" s="216">
        <f t="shared" si="576"/>
        <v>1.2387595392018727</v>
      </c>
      <c r="AY988" s="217">
        <f t="shared" si="577"/>
        <v>34278</v>
      </c>
      <c r="AZ988" s="107"/>
      <c r="BA988" s="94">
        <v>45668.0625</v>
      </c>
      <c r="BB988" s="94">
        <v>45668.072916666664</v>
      </c>
      <c r="BC988" s="94">
        <v>45668.086805555555</v>
      </c>
      <c r="BD988" s="94">
        <v>45668.205555555556</v>
      </c>
      <c r="BE988" s="95">
        <f t="shared" si="578"/>
        <v>0.14305555555620231</v>
      </c>
      <c r="BF988" s="95">
        <v>6.9444444444444441E-3</v>
      </c>
      <c r="BG988" s="95">
        <v>6.9444444444444441E-3</v>
      </c>
      <c r="BH988" s="95">
        <f t="shared" si="579"/>
        <v>1.0416666664241347E-2</v>
      </c>
      <c r="BI988" s="95">
        <f t="shared" si="579"/>
        <v>1.3888888890505768E-2</v>
      </c>
      <c r="BJ988" s="95">
        <f t="shared" si="579"/>
        <v>0.11875000000145519</v>
      </c>
      <c r="BK988" s="95">
        <f t="shared" si="580"/>
        <v>0.13263888889196096</v>
      </c>
      <c r="BL988" s="95">
        <f t="shared" si="581"/>
        <v>0.11875000000307206</v>
      </c>
      <c r="BM988" s="95" t="str">
        <f t="shared" si="582"/>
        <v>00:00</v>
      </c>
      <c r="BN988" s="110"/>
    </row>
    <row r="989" spans="1:66" s="8" customFormat="1" ht="12.75" customHeight="1" x14ac:dyDescent="0.25">
      <c r="A989" s="150">
        <v>910</v>
      </c>
      <c r="B989" s="150">
        <v>36</v>
      </c>
      <c r="C989" s="90">
        <v>6</v>
      </c>
      <c r="D989" s="111" t="s">
        <v>113</v>
      </c>
      <c r="E989" s="210" t="s">
        <v>1024</v>
      </c>
      <c r="F989" s="150" t="s">
        <v>32</v>
      </c>
      <c r="G989" s="150" t="s">
        <v>15</v>
      </c>
      <c r="H989" s="150" t="s">
        <v>146</v>
      </c>
      <c r="I989" s="150" t="s">
        <v>1054</v>
      </c>
      <c r="J989" s="151">
        <v>45668</v>
      </c>
      <c r="K989" s="135" t="s">
        <v>117</v>
      </c>
      <c r="L989" s="135">
        <v>261006179</v>
      </c>
      <c r="M989" s="151">
        <v>45668</v>
      </c>
      <c r="N989" s="152">
        <v>45668.270833333336</v>
      </c>
      <c r="O989" s="152">
        <v>45668.270833333336</v>
      </c>
      <c r="P989" s="152">
        <v>45668.274305555555</v>
      </c>
      <c r="Q989" s="152">
        <v>45668.479166666664</v>
      </c>
      <c r="R989" s="152" t="s">
        <v>118</v>
      </c>
      <c r="S989" s="152" t="s">
        <v>118</v>
      </c>
      <c r="T989" s="152">
        <v>45668.625</v>
      </c>
      <c r="U989" s="152">
        <v>45668.739583333336</v>
      </c>
      <c r="V989" s="219">
        <f t="shared" si="574"/>
        <v>0.20833333332848269</v>
      </c>
      <c r="W989" s="203">
        <v>0.20833333333333334</v>
      </c>
      <c r="X989" s="219" t="str">
        <f t="shared" si="575"/>
        <v>00:00</v>
      </c>
      <c r="Y989" s="96">
        <v>0</v>
      </c>
      <c r="Z989" s="96">
        <v>59</v>
      </c>
      <c r="AA989" s="96">
        <f t="shared" si="584"/>
        <v>59</v>
      </c>
      <c r="AB989" s="97">
        <f t="shared" si="585"/>
        <v>0</v>
      </c>
      <c r="AC989" s="97">
        <f t="shared" si="586"/>
        <v>3886.71</v>
      </c>
      <c r="AD989" s="98">
        <v>3886.71</v>
      </c>
      <c r="AE989" s="98">
        <v>4094.5</v>
      </c>
      <c r="AF989" s="98">
        <v>4094.6</v>
      </c>
      <c r="AG989" s="98">
        <f t="shared" si="587"/>
        <v>207.88999999999987</v>
      </c>
      <c r="AH989" s="99">
        <v>1398.7</v>
      </c>
      <c r="AI989" s="100">
        <f t="shared" si="588"/>
        <v>5727117.0200000005</v>
      </c>
      <c r="AJ989" s="100">
        <f t="shared" ref="AJ989:AJ994" si="589">(0*AH989)*2</f>
        <v>0</v>
      </c>
      <c r="AK989" s="100">
        <v>0</v>
      </c>
      <c r="AL989" s="100">
        <v>0</v>
      </c>
      <c r="AM989" s="100">
        <v>0</v>
      </c>
      <c r="AN989" s="100">
        <v>0</v>
      </c>
      <c r="AO989" s="100">
        <v>0</v>
      </c>
      <c r="AP989" s="100">
        <f t="shared" si="583"/>
        <v>286356</v>
      </c>
      <c r="AQ989" s="101">
        <f t="shared" si="573"/>
        <v>6013474</v>
      </c>
      <c r="AR989" s="101">
        <v>0</v>
      </c>
      <c r="AS989" s="101">
        <v>0</v>
      </c>
      <c r="AT989" s="102" t="s">
        <v>33</v>
      </c>
      <c r="AU989" s="109" t="s">
        <v>118</v>
      </c>
      <c r="AV989" s="100">
        <v>0</v>
      </c>
      <c r="AW989" s="105">
        <v>0</v>
      </c>
      <c r="AX989" s="216">
        <f t="shared" si="576"/>
        <v>5.0771748156108014</v>
      </c>
      <c r="AY989" s="217">
        <f t="shared" si="577"/>
        <v>290776</v>
      </c>
      <c r="AZ989" s="107"/>
      <c r="BA989" s="94">
        <v>45668.270833333336</v>
      </c>
      <c r="BB989" s="94">
        <v>45668.274305555555</v>
      </c>
      <c r="BC989" s="94">
        <v>45668.327777777777</v>
      </c>
      <c r="BD989" s="94">
        <v>45668.475694444445</v>
      </c>
      <c r="BE989" s="95">
        <f t="shared" si="578"/>
        <v>0.20486111110949423</v>
      </c>
      <c r="BF989" s="95">
        <v>3.6111111111111108E-2</v>
      </c>
      <c r="BG989" s="95">
        <v>5.7638888888888892E-2</v>
      </c>
      <c r="BH989" s="95">
        <f t="shared" si="579"/>
        <v>3.4722222189884633E-3</v>
      </c>
      <c r="BI989" s="95">
        <f t="shared" si="579"/>
        <v>5.3472222221898846E-2</v>
      </c>
      <c r="BJ989" s="95">
        <f t="shared" si="579"/>
        <v>0.14791666666860692</v>
      </c>
      <c r="BK989" s="95">
        <f t="shared" si="580"/>
        <v>0.20138888889050577</v>
      </c>
      <c r="BL989" s="95">
        <f t="shared" si="581"/>
        <v>0.10763888889050578</v>
      </c>
      <c r="BM989" s="95" t="str">
        <f t="shared" si="582"/>
        <v>00:00</v>
      </c>
      <c r="BN989" s="110"/>
    </row>
    <row r="990" spans="1:66" s="8" customFormat="1" ht="12.75" customHeight="1" x14ac:dyDescent="0.25">
      <c r="A990" s="150">
        <v>911</v>
      </c>
      <c r="B990" s="150">
        <v>37</v>
      </c>
      <c r="C990" s="90">
        <v>5</v>
      </c>
      <c r="D990" s="111" t="s">
        <v>148</v>
      </c>
      <c r="E990" s="210" t="s">
        <v>1051</v>
      </c>
      <c r="F990" s="150" t="s">
        <v>19</v>
      </c>
      <c r="G990" s="150" t="s">
        <v>17</v>
      </c>
      <c r="H990" s="150" t="s">
        <v>150</v>
      </c>
      <c r="I990" s="150" t="s">
        <v>532</v>
      </c>
      <c r="J990" s="151">
        <v>45666</v>
      </c>
      <c r="K990" s="135" t="s">
        <v>122</v>
      </c>
      <c r="L990" s="135">
        <v>461000664</v>
      </c>
      <c r="M990" s="151">
        <v>45669</v>
      </c>
      <c r="N990" s="152">
        <v>45668.479166666664</v>
      </c>
      <c r="O990" s="152">
        <v>45668.479166666664</v>
      </c>
      <c r="P990" s="152">
        <v>45668.482638888891</v>
      </c>
      <c r="Q990" s="152">
        <v>45668.666666666664</v>
      </c>
      <c r="R990" s="152" t="s">
        <v>118</v>
      </c>
      <c r="S990" s="152" t="s">
        <v>118</v>
      </c>
      <c r="T990" s="152">
        <v>45669.041666666664</v>
      </c>
      <c r="U990" s="152">
        <v>45669.215277777781</v>
      </c>
      <c r="V990" s="219">
        <f t="shared" si="574"/>
        <v>0.1875</v>
      </c>
      <c r="W990" s="203">
        <v>0.20833333333333334</v>
      </c>
      <c r="X990" s="219" t="str">
        <f t="shared" si="575"/>
        <v>00:00</v>
      </c>
      <c r="Y990" s="96">
        <v>0</v>
      </c>
      <c r="Z990" s="96">
        <v>59</v>
      </c>
      <c r="AA990" s="96">
        <f t="shared" si="584"/>
        <v>59</v>
      </c>
      <c r="AB990" s="97">
        <f t="shared" si="585"/>
        <v>0</v>
      </c>
      <c r="AC990" s="97">
        <f t="shared" si="586"/>
        <v>4145.67</v>
      </c>
      <c r="AD990" s="98">
        <v>4145.67</v>
      </c>
      <c r="AE990" s="98">
        <v>4127.3999999999996</v>
      </c>
      <c r="AF990" s="98">
        <v>4161.6000000000004</v>
      </c>
      <c r="AG990" s="98">
        <f t="shared" si="587"/>
        <v>15.930000000000291</v>
      </c>
      <c r="AH990" s="99">
        <v>672.5</v>
      </c>
      <c r="AI990" s="100">
        <f t="shared" si="588"/>
        <v>2798676.0000000005</v>
      </c>
      <c r="AJ990" s="100">
        <f t="shared" si="589"/>
        <v>0</v>
      </c>
      <c r="AK990" s="100">
        <v>0</v>
      </c>
      <c r="AL990" s="100">
        <v>24290</v>
      </c>
      <c r="AM990" s="100">
        <v>0</v>
      </c>
      <c r="AN990" s="100">
        <v>0</v>
      </c>
      <c r="AO990" s="100">
        <v>0</v>
      </c>
      <c r="AP990" s="100">
        <f t="shared" si="583"/>
        <v>141149</v>
      </c>
      <c r="AQ990" s="101">
        <f t="shared" si="573"/>
        <v>2964115</v>
      </c>
      <c r="AR990" s="101">
        <v>0</v>
      </c>
      <c r="AS990" s="101">
        <v>0</v>
      </c>
      <c r="AT990" s="102" t="s">
        <v>33</v>
      </c>
      <c r="AU990" s="109">
        <v>14</v>
      </c>
      <c r="AV990" s="100">
        <f>42.87-30.87</f>
        <v>11.999999999999996</v>
      </c>
      <c r="AW990" s="105">
        <v>0</v>
      </c>
      <c r="AX990" s="216">
        <f t="shared" si="576"/>
        <v>0.38278546712803463</v>
      </c>
      <c r="AY990" s="217">
        <f t="shared" si="577"/>
        <v>10713</v>
      </c>
      <c r="AZ990" s="107"/>
      <c r="BA990" s="94">
        <v>45668.479166666664</v>
      </c>
      <c r="BB990" s="94">
        <v>45668.482638888891</v>
      </c>
      <c r="BC990" s="94">
        <v>45668.5</v>
      </c>
      <c r="BD990" s="94">
        <v>45668.633333333331</v>
      </c>
      <c r="BE990" s="95">
        <f t="shared" si="578"/>
        <v>0.15416666666715173</v>
      </c>
      <c r="BF990" s="95">
        <v>0</v>
      </c>
      <c r="BG990" s="95">
        <v>1.7361111111111112E-2</v>
      </c>
      <c r="BH990" s="95">
        <f t="shared" si="579"/>
        <v>3.4722222262644209E-3</v>
      </c>
      <c r="BI990" s="95">
        <f t="shared" si="579"/>
        <v>1.7361111109494232E-2</v>
      </c>
      <c r="BJ990" s="95">
        <f t="shared" si="579"/>
        <v>0.13333333333139308</v>
      </c>
      <c r="BK990" s="95">
        <f t="shared" si="580"/>
        <v>0.15069444444088731</v>
      </c>
      <c r="BL990" s="95">
        <f t="shared" si="581"/>
        <v>0.1333333333297762</v>
      </c>
      <c r="BM990" s="95" t="str">
        <f t="shared" si="582"/>
        <v>00:00</v>
      </c>
      <c r="BN990" s="110"/>
    </row>
    <row r="991" spans="1:66" s="8" customFormat="1" ht="12.75" customHeight="1" x14ac:dyDescent="0.25">
      <c r="A991" s="150">
        <v>912</v>
      </c>
      <c r="B991" s="150">
        <v>38</v>
      </c>
      <c r="C991" s="90">
        <v>14</v>
      </c>
      <c r="D991" s="111" t="s">
        <v>113</v>
      </c>
      <c r="E991" s="210" t="s">
        <v>996</v>
      </c>
      <c r="F991" s="150" t="s">
        <v>29</v>
      </c>
      <c r="G991" s="150" t="s">
        <v>15</v>
      </c>
      <c r="H991" s="150" t="s">
        <v>124</v>
      </c>
      <c r="I991" s="150" t="s">
        <v>1055</v>
      </c>
      <c r="J991" s="151"/>
      <c r="K991" s="135" t="s">
        <v>117</v>
      </c>
      <c r="L991" s="135">
        <v>261006182</v>
      </c>
      <c r="M991" s="151">
        <v>45669</v>
      </c>
      <c r="N991" s="152">
        <v>45668.770833333336</v>
      </c>
      <c r="O991" s="152">
        <v>45668.770833333336</v>
      </c>
      <c r="P991" s="152">
        <v>45668.774305555555</v>
      </c>
      <c r="Q991" s="152">
        <v>45668.979166666664</v>
      </c>
      <c r="R991" s="152" t="s">
        <v>118</v>
      </c>
      <c r="S991" s="152" t="s">
        <v>118</v>
      </c>
      <c r="T991" s="152">
        <v>45669.222222222219</v>
      </c>
      <c r="U991" s="152">
        <v>45669.372916666667</v>
      </c>
      <c r="V991" s="219">
        <f t="shared" si="574"/>
        <v>0.20833333332848269</v>
      </c>
      <c r="W991" s="203">
        <v>0.20833333333333334</v>
      </c>
      <c r="X991" s="219" t="str">
        <f t="shared" si="575"/>
        <v>00:00</v>
      </c>
      <c r="Y991" s="96">
        <v>3</v>
      </c>
      <c r="Z991" s="96">
        <v>54</v>
      </c>
      <c r="AA991" s="96">
        <f t="shared" si="584"/>
        <v>57</v>
      </c>
      <c r="AB991" s="97">
        <f t="shared" si="585"/>
        <v>178.15</v>
      </c>
      <c r="AC991" s="97">
        <f t="shared" si="586"/>
        <v>3206.7</v>
      </c>
      <c r="AD991" s="98">
        <v>3384.85</v>
      </c>
      <c r="AE991" s="98">
        <v>3956.4</v>
      </c>
      <c r="AF991" s="98">
        <v>3956.4</v>
      </c>
      <c r="AG991" s="98">
        <f t="shared" si="587"/>
        <v>571.55000000000018</v>
      </c>
      <c r="AH991" s="99">
        <v>797.2</v>
      </c>
      <c r="AI991" s="100">
        <f t="shared" si="588"/>
        <v>3154042.08</v>
      </c>
      <c r="AJ991" s="100">
        <f t="shared" si="589"/>
        <v>0</v>
      </c>
      <c r="AK991" s="100">
        <v>0</v>
      </c>
      <c r="AL991" s="100">
        <v>0</v>
      </c>
      <c r="AM991" s="100">
        <v>0</v>
      </c>
      <c r="AN991" s="100">
        <v>0</v>
      </c>
      <c r="AO991" s="100">
        <v>0</v>
      </c>
      <c r="AP991" s="100">
        <f t="shared" si="583"/>
        <v>157703</v>
      </c>
      <c r="AQ991" s="101">
        <f t="shared" si="573"/>
        <v>3311746</v>
      </c>
      <c r="AR991" s="101">
        <v>0</v>
      </c>
      <c r="AS991" s="101">
        <v>0</v>
      </c>
      <c r="AT991" s="102" t="s">
        <v>33</v>
      </c>
      <c r="AU991" s="109" t="s">
        <v>118</v>
      </c>
      <c r="AV991" s="100">
        <v>0</v>
      </c>
      <c r="AW991" s="105">
        <v>0</v>
      </c>
      <c r="AX991" s="216">
        <f t="shared" si="576"/>
        <v>14.446213729653223</v>
      </c>
      <c r="AY991" s="217">
        <f t="shared" si="577"/>
        <v>455640</v>
      </c>
      <c r="AZ991" s="107"/>
      <c r="BA991" s="94">
        <v>45668.770833333336</v>
      </c>
      <c r="BB991" s="94">
        <v>45668.774305555555</v>
      </c>
      <c r="BC991" s="94">
        <v>45668.788194444445</v>
      </c>
      <c r="BD991" s="94">
        <v>45668.990972222222</v>
      </c>
      <c r="BE991" s="95">
        <f t="shared" si="578"/>
        <v>0.22013888888614019</v>
      </c>
      <c r="BF991" s="95">
        <v>4.1666666666666666E-3</v>
      </c>
      <c r="BG991" s="95">
        <v>8.6805555555555552E-2</v>
      </c>
      <c r="BH991" s="95">
        <f t="shared" si="579"/>
        <v>3.4722222189884633E-3</v>
      </c>
      <c r="BI991" s="95">
        <f t="shared" si="579"/>
        <v>1.3888888890505768E-2</v>
      </c>
      <c r="BJ991" s="95">
        <f t="shared" si="579"/>
        <v>0.20277777777664596</v>
      </c>
      <c r="BK991" s="95">
        <f t="shared" si="580"/>
        <v>0.21666666666715173</v>
      </c>
      <c r="BL991" s="95">
        <f t="shared" si="581"/>
        <v>0.1256944444449295</v>
      </c>
      <c r="BM991" s="95">
        <f t="shared" si="582"/>
        <v>1.1805555552806851E-2</v>
      </c>
      <c r="BN991" s="110"/>
    </row>
    <row r="992" spans="1:66" s="8" customFormat="1" ht="12.75" customHeight="1" x14ac:dyDescent="0.25">
      <c r="A992" s="150">
        <v>913</v>
      </c>
      <c r="B992" s="150">
        <v>39</v>
      </c>
      <c r="C992" s="90">
        <v>6</v>
      </c>
      <c r="D992" s="111" t="s">
        <v>148</v>
      </c>
      <c r="E992" s="210" t="s">
        <v>1051</v>
      </c>
      <c r="F992" s="150" t="s">
        <v>19</v>
      </c>
      <c r="G992" s="150" t="s">
        <v>17</v>
      </c>
      <c r="H992" s="150" t="s">
        <v>150</v>
      </c>
      <c r="I992" s="150" t="s">
        <v>533</v>
      </c>
      <c r="J992" s="151">
        <v>45666</v>
      </c>
      <c r="K992" s="135" t="s">
        <v>122</v>
      </c>
      <c r="L992" s="135">
        <v>461000665</v>
      </c>
      <c r="M992" s="151">
        <v>45669</v>
      </c>
      <c r="N992" s="152">
        <v>45669.239583333336</v>
      </c>
      <c r="O992" s="152">
        <v>45669.239583333336</v>
      </c>
      <c r="P992" s="152">
        <v>45669.25</v>
      </c>
      <c r="Q992" s="152">
        <v>45669.4375</v>
      </c>
      <c r="R992" s="152" t="s">
        <v>118</v>
      </c>
      <c r="S992" s="152" t="s">
        <v>118</v>
      </c>
      <c r="T992" s="152">
        <v>45669.583333333336</v>
      </c>
      <c r="U992" s="152">
        <v>45669.673611111109</v>
      </c>
      <c r="V992" s="219">
        <f t="shared" si="574"/>
        <v>0.19791666666424135</v>
      </c>
      <c r="W992" s="203">
        <v>0.20833333333333334</v>
      </c>
      <c r="X992" s="219" t="str">
        <f t="shared" si="575"/>
        <v>00:00</v>
      </c>
      <c r="Y992" s="96">
        <v>0</v>
      </c>
      <c r="Z992" s="96">
        <v>54</v>
      </c>
      <c r="AA992" s="96">
        <f t="shared" si="584"/>
        <v>54</v>
      </c>
      <c r="AB992" s="97">
        <f t="shared" si="585"/>
        <v>0</v>
      </c>
      <c r="AC992" s="97">
        <f t="shared" si="586"/>
        <v>3724.1600000000003</v>
      </c>
      <c r="AD992" s="98">
        <v>3724.16</v>
      </c>
      <c r="AE992" s="98">
        <v>3761.6</v>
      </c>
      <c r="AF992" s="98">
        <v>3769.4</v>
      </c>
      <c r="AG992" s="98">
        <f t="shared" si="587"/>
        <v>45.240000000000236</v>
      </c>
      <c r="AH992" s="99">
        <v>672.5</v>
      </c>
      <c r="AI992" s="100">
        <f t="shared" si="588"/>
        <v>2534921.5</v>
      </c>
      <c r="AJ992" s="100">
        <f t="shared" si="589"/>
        <v>0</v>
      </c>
      <c r="AK992" s="100">
        <v>0</v>
      </c>
      <c r="AL992" s="100">
        <v>23540</v>
      </c>
      <c r="AM992" s="100">
        <v>0</v>
      </c>
      <c r="AN992" s="100">
        <v>0</v>
      </c>
      <c r="AO992" s="100">
        <v>0</v>
      </c>
      <c r="AP992" s="100">
        <f t="shared" si="583"/>
        <v>127924</v>
      </c>
      <c r="AQ992" s="101">
        <f t="shared" si="573"/>
        <v>2686386</v>
      </c>
      <c r="AR992" s="101">
        <v>0</v>
      </c>
      <c r="AS992" s="101">
        <v>0</v>
      </c>
      <c r="AT992" s="102" t="s">
        <v>33</v>
      </c>
      <c r="AU992" s="109">
        <v>5</v>
      </c>
      <c r="AV992" s="100">
        <f>9.51-6.41</f>
        <v>3.0999999999999996</v>
      </c>
      <c r="AW992" s="105">
        <v>0</v>
      </c>
      <c r="AX992" s="216">
        <f t="shared" si="576"/>
        <v>1.2001910118321282</v>
      </c>
      <c r="AY992" s="217">
        <f t="shared" si="577"/>
        <v>30424</v>
      </c>
      <c r="AZ992" s="107"/>
      <c r="BA992" s="94">
        <v>45669.239583333336</v>
      </c>
      <c r="BB992" s="94">
        <v>45669.25</v>
      </c>
      <c r="BC992" s="94">
        <v>45669.25</v>
      </c>
      <c r="BD992" s="94">
        <v>45669.402777777781</v>
      </c>
      <c r="BE992" s="95">
        <f t="shared" si="578"/>
        <v>0.16319444444525288</v>
      </c>
      <c r="BF992" s="95">
        <v>0</v>
      </c>
      <c r="BG992" s="95">
        <v>0</v>
      </c>
      <c r="BH992" s="95">
        <f t="shared" si="579"/>
        <v>1.0416666664241347E-2</v>
      </c>
      <c r="BI992" s="95">
        <f t="shared" si="579"/>
        <v>0</v>
      </c>
      <c r="BJ992" s="95">
        <f t="shared" si="579"/>
        <v>0.15277777778101154</v>
      </c>
      <c r="BK992" s="95">
        <f t="shared" si="580"/>
        <v>0.15277777778101154</v>
      </c>
      <c r="BL992" s="95">
        <f t="shared" si="581"/>
        <v>0.15277777778101154</v>
      </c>
      <c r="BM992" s="95" t="str">
        <f t="shared" si="582"/>
        <v>00:00</v>
      </c>
      <c r="BN992" s="110"/>
    </row>
    <row r="993" spans="1:66" s="8" customFormat="1" ht="12.75" customHeight="1" x14ac:dyDescent="0.25">
      <c r="A993" s="150">
        <v>914</v>
      </c>
      <c r="B993" s="150">
        <v>40</v>
      </c>
      <c r="C993" s="90">
        <v>16</v>
      </c>
      <c r="D993" s="111" t="s">
        <v>113</v>
      </c>
      <c r="E993" s="210" t="s">
        <v>985</v>
      </c>
      <c r="F993" s="150" t="s">
        <v>27</v>
      </c>
      <c r="G993" s="150" t="s">
        <v>12</v>
      </c>
      <c r="H993" s="150" t="s">
        <v>115</v>
      </c>
      <c r="I993" s="150" t="s">
        <v>1056</v>
      </c>
      <c r="J993" s="151">
        <v>45669</v>
      </c>
      <c r="K993" s="135" t="s">
        <v>117</v>
      </c>
      <c r="L993" s="135">
        <v>282001105</v>
      </c>
      <c r="M993" s="151">
        <v>45670</v>
      </c>
      <c r="N993" s="152">
        <v>45669.458333333336</v>
      </c>
      <c r="O993" s="152">
        <v>45669.458333333336</v>
      </c>
      <c r="P993" s="152">
        <v>45669.479166666664</v>
      </c>
      <c r="Q993" s="152">
        <v>45669.666666666664</v>
      </c>
      <c r="R993" s="152" t="s">
        <v>118</v>
      </c>
      <c r="S993" s="152" t="s">
        <v>118</v>
      </c>
      <c r="T993" s="152">
        <v>45669.770833333336</v>
      </c>
      <c r="U993" s="152">
        <v>45669.864583333336</v>
      </c>
      <c r="V993" s="219">
        <f t="shared" si="574"/>
        <v>0.20833333332848269</v>
      </c>
      <c r="W993" s="203">
        <v>0.20833333333333334</v>
      </c>
      <c r="X993" s="219" t="str">
        <f t="shared" si="575"/>
        <v>00:00</v>
      </c>
      <c r="Y993" s="96">
        <v>0</v>
      </c>
      <c r="Z993" s="96">
        <v>59</v>
      </c>
      <c r="AA993" s="96">
        <f t="shared" si="584"/>
        <v>59</v>
      </c>
      <c r="AB993" s="97">
        <f t="shared" si="585"/>
        <v>0</v>
      </c>
      <c r="AC993" s="97">
        <f t="shared" si="586"/>
        <v>4148.3599999999997</v>
      </c>
      <c r="AD993" s="98">
        <v>4148.3599999999997</v>
      </c>
      <c r="AE993" s="98">
        <v>4113.3</v>
      </c>
      <c r="AF993" s="98">
        <v>4161.6000000000004</v>
      </c>
      <c r="AG993" s="98">
        <f t="shared" si="587"/>
        <v>13.240000000000691</v>
      </c>
      <c r="AH993" s="99">
        <v>1586.7</v>
      </c>
      <c r="AI993" s="100">
        <f t="shared" si="588"/>
        <v>6603210.7200000007</v>
      </c>
      <c r="AJ993" s="100">
        <f t="shared" si="589"/>
        <v>0</v>
      </c>
      <c r="AK993" s="100">
        <v>0</v>
      </c>
      <c r="AL993" s="100">
        <v>48580</v>
      </c>
      <c r="AM993" s="100">
        <v>0</v>
      </c>
      <c r="AN993" s="100">
        <v>0</v>
      </c>
      <c r="AO993" s="100">
        <f>IFERROR(AF993*20+(((AJ993/AH993)/2)*20),0)</f>
        <v>83232</v>
      </c>
      <c r="AP993" s="100">
        <f t="shared" si="583"/>
        <v>336752</v>
      </c>
      <c r="AQ993" s="101">
        <f t="shared" si="573"/>
        <v>7071775</v>
      </c>
      <c r="AR993" s="101">
        <v>0</v>
      </c>
      <c r="AS993" s="101">
        <v>0</v>
      </c>
      <c r="AT993" s="102" t="s">
        <v>33</v>
      </c>
      <c r="AU993" s="109">
        <v>36</v>
      </c>
      <c r="AV993" s="100">
        <f>78-39.5</f>
        <v>38.5</v>
      </c>
      <c r="AW993" s="105">
        <v>0</v>
      </c>
      <c r="AX993" s="216">
        <f t="shared" si="576"/>
        <v>0.31814686658978975</v>
      </c>
      <c r="AY993" s="217">
        <f t="shared" si="577"/>
        <v>21008</v>
      </c>
      <c r="AZ993" s="107"/>
      <c r="BA993" s="94">
        <v>45669.458333333336</v>
      </c>
      <c r="BB993" s="94">
        <v>45669.479166666664</v>
      </c>
      <c r="BC993" s="94">
        <v>45669.482638888891</v>
      </c>
      <c r="BD993" s="94">
        <v>45669.649305555555</v>
      </c>
      <c r="BE993" s="95">
        <f t="shared" si="578"/>
        <v>0.19097222221898846</v>
      </c>
      <c r="BF993" s="95">
        <v>0</v>
      </c>
      <c r="BG993" s="95">
        <v>5.8333333333333334E-2</v>
      </c>
      <c r="BH993" s="95">
        <f t="shared" si="579"/>
        <v>2.0833333328482695E-2</v>
      </c>
      <c r="BI993" s="95">
        <f t="shared" si="579"/>
        <v>3.4722222262644209E-3</v>
      </c>
      <c r="BJ993" s="95">
        <f t="shared" si="579"/>
        <v>0.16666666666424135</v>
      </c>
      <c r="BK993" s="95">
        <f t="shared" si="580"/>
        <v>0.17013888889050577</v>
      </c>
      <c r="BL993" s="95">
        <f t="shared" si="581"/>
        <v>0.11180555555717243</v>
      </c>
      <c r="BM993" s="95" t="str">
        <f t="shared" si="582"/>
        <v>00:00</v>
      </c>
      <c r="BN993" s="110"/>
    </row>
    <row r="994" spans="1:66" s="8" customFormat="1" ht="12.75" customHeight="1" x14ac:dyDescent="0.25">
      <c r="A994" s="150">
        <v>915</v>
      </c>
      <c r="B994" s="150">
        <v>41</v>
      </c>
      <c r="C994" s="90">
        <v>7</v>
      </c>
      <c r="D994" s="111" t="s">
        <v>148</v>
      </c>
      <c r="E994" s="210" t="s">
        <v>1051</v>
      </c>
      <c r="F994" s="150" t="s">
        <v>19</v>
      </c>
      <c r="G994" s="150" t="s">
        <v>17</v>
      </c>
      <c r="H994" s="150" t="s">
        <v>150</v>
      </c>
      <c r="I994" s="150" t="s">
        <v>535</v>
      </c>
      <c r="J994" s="151">
        <v>45668</v>
      </c>
      <c r="K994" s="135" t="s">
        <v>122</v>
      </c>
      <c r="L994" s="135">
        <v>461000666</v>
      </c>
      <c r="M994" s="151">
        <v>45670</v>
      </c>
      <c r="N994" s="152">
        <v>45669.708333333336</v>
      </c>
      <c r="O994" s="152">
        <v>45669.697916666664</v>
      </c>
      <c r="P994" s="152">
        <v>45669.75</v>
      </c>
      <c r="Q994" s="152">
        <v>45669.90625</v>
      </c>
      <c r="R994" s="152">
        <v>45669.708333333336</v>
      </c>
      <c r="S994" s="152" t="s">
        <v>118</v>
      </c>
      <c r="T994" s="152">
        <v>45669.902777777781</v>
      </c>
      <c r="U994" s="152">
        <v>45670.125</v>
      </c>
      <c r="V994" s="219">
        <f t="shared" si="574"/>
        <v>0.20833333333575865</v>
      </c>
      <c r="W994" s="203">
        <v>0.20833333333333334</v>
      </c>
      <c r="X994" s="219">
        <f t="shared" si="575"/>
        <v>2.4253099528692701E-12</v>
      </c>
      <c r="Y994" s="96">
        <v>0</v>
      </c>
      <c r="Z994" s="96">
        <v>59</v>
      </c>
      <c r="AA994" s="96">
        <f t="shared" si="584"/>
        <v>59</v>
      </c>
      <c r="AB994" s="97">
        <f t="shared" si="585"/>
        <v>0</v>
      </c>
      <c r="AC994" s="97">
        <f t="shared" si="586"/>
        <v>4123.09</v>
      </c>
      <c r="AD994" s="98">
        <v>4123.09</v>
      </c>
      <c r="AE994" s="98">
        <v>4107.2</v>
      </c>
      <c r="AF994" s="98">
        <v>4135.3999999999996</v>
      </c>
      <c r="AG994" s="98">
        <f t="shared" si="587"/>
        <v>12.309999999999491</v>
      </c>
      <c r="AH994" s="99">
        <v>672.5</v>
      </c>
      <c r="AI994" s="100">
        <f t="shared" si="588"/>
        <v>2781056.4999999995</v>
      </c>
      <c r="AJ994" s="100">
        <f t="shared" si="589"/>
        <v>0</v>
      </c>
      <c r="AK994" s="100">
        <v>0</v>
      </c>
      <c r="AL994" s="100">
        <v>24290</v>
      </c>
      <c r="AM994" s="100">
        <v>0</v>
      </c>
      <c r="AN994" s="100">
        <v>0</v>
      </c>
      <c r="AO994" s="100">
        <v>0</v>
      </c>
      <c r="AP994" s="100">
        <f t="shared" si="583"/>
        <v>140268</v>
      </c>
      <c r="AQ994" s="101">
        <f t="shared" si="573"/>
        <v>2945615</v>
      </c>
      <c r="AR994" s="101">
        <v>0</v>
      </c>
      <c r="AS994" s="101">
        <v>0</v>
      </c>
      <c r="AT994" s="102" t="s">
        <v>33</v>
      </c>
      <c r="AU994" s="109">
        <v>14</v>
      </c>
      <c r="AV994" s="100">
        <f>33.18-24.68</f>
        <v>8.5</v>
      </c>
      <c r="AW994" s="105">
        <v>0</v>
      </c>
      <c r="AX994" s="216">
        <f t="shared" si="576"/>
        <v>0.29767374377326239</v>
      </c>
      <c r="AY994" s="217">
        <f t="shared" si="577"/>
        <v>8279</v>
      </c>
      <c r="AZ994" s="107"/>
      <c r="BA994" s="94">
        <v>45669.708333333336</v>
      </c>
      <c r="BB994" s="94">
        <v>45669.75</v>
      </c>
      <c r="BC994" s="94">
        <v>45669.75</v>
      </c>
      <c r="BD994" s="94">
        <v>45669.868055555555</v>
      </c>
      <c r="BE994" s="95">
        <f t="shared" si="578"/>
        <v>0.15972222221898846</v>
      </c>
      <c r="BF994" s="95">
        <v>0</v>
      </c>
      <c r="BG994" s="95">
        <v>0</v>
      </c>
      <c r="BH994" s="95">
        <f t="shared" si="579"/>
        <v>4.1666666664241347E-2</v>
      </c>
      <c r="BI994" s="95">
        <f t="shared" si="579"/>
        <v>0</v>
      </c>
      <c r="BJ994" s="95">
        <f t="shared" si="579"/>
        <v>0.11805555555474712</v>
      </c>
      <c r="BK994" s="95">
        <f t="shared" si="580"/>
        <v>0.11805555555474712</v>
      </c>
      <c r="BL994" s="95">
        <f t="shared" si="581"/>
        <v>0.11805555555474712</v>
      </c>
      <c r="BM994" s="95" t="str">
        <f t="shared" si="582"/>
        <v>00:00</v>
      </c>
      <c r="BN994" s="110"/>
    </row>
    <row r="995" spans="1:66" s="8" customFormat="1" ht="12.75" customHeight="1" x14ac:dyDescent="0.25">
      <c r="A995" s="150">
        <v>916</v>
      </c>
      <c r="B995" s="150">
        <v>42</v>
      </c>
      <c r="C995" s="90">
        <v>17</v>
      </c>
      <c r="D995" s="111" t="s">
        <v>113</v>
      </c>
      <c r="E995" s="210" t="s">
        <v>991</v>
      </c>
      <c r="F995" s="150" t="s">
        <v>27</v>
      </c>
      <c r="G995" s="150" t="s">
        <v>12</v>
      </c>
      <c r="H995" s="150" t="s">
        <v>115</v>
      </c>
      <c r="I995" s="150" t="s">
        <v>1057</v>
      </c>
      <c r="J995" s="151">
        <v>45669</v>
      </c>
      <c r="K995" s="135" t="s">
        <v>117</v>
      </c>
      <c r="L995" s="135">
        <v>282001106</v>
      </c>
      <c r="M995" s="151">
        <v>45670</v>
      </c>
      <c r="N995" s="152">
        <v>45669.888888888891</v>
      </c>
      <c r="O995" s="152">
        <v>45669.875</v>
      </c>
      <c r="P995" s="152">
        <v>45669.899305555555</v>
      </c>
      <c r="Q995" s="152">
        <v>45670.083333333336</v>
      </c>
      <c r="R995" s="152">
        <v>45669.888888888891</v>
      </c>
      <c r="S995" s="152" t="s">
        <v>118</v>
      </c>
      <c r="T995" s="152">
        <v>45670.3125</v>
      </c>
      <c r="U995" s="152">
        <v>45670.450694444444</v>
      </c>
      <c r="V995" s="219">
        <f t="shared" si="574"/>
        <v>0.20833333333575865</v>
      </c>
      <c r="W995" s="203">
        <v>0.20833333333333334</v>
      </c>
      <c r="X995" s="219">
        <f t="shared" si="575"/>
        <v>2.4253099528692701E-12</v>
      </c>
      <c r="Y995" s="96">
        <v>0</v>
      </c>
      <c r="Z995" s="96">
        <v>57</v>
      </c>
      <c r="AA995" s="96">
        <f t="shared" si="584"/>
        <v>57</v>
      </c>
      <c r="AB995" s="97">
        <f t="shared" si="585"/>
        <v>0</v>
      </c>
      <c r="AC995" s="97">
        <f t="shared" si="586"/>
        <v>3844.79</v>
      </c>
      <c r="AD995" s="98">
        <v>3844.79</v>
      </c>
      <c r="AE995" s="98">
        <v>3966</v>
      </c>
      <c r="AF995" s="98">
        <v>3967.6</v>
      </c>
      <c r="AG995" s="98">
        <f t="shared" si="587"/>
        <v>122.80999999999995</v>
      </c>
      <c r="AH995" s="99">
        <v>1586.7</v>
      </c>
      <c r="AI995" s="100">
        <f t="shared" si="588"/>
        <v>6295390.9199999999</v>
      </c>
      <c r="AJ995" s="100">
        <f>(0.4*AH995)*2</f>
        <v>1269.3600000000001</v>
      </c>
      <c r="AK995" s="100">
        <v>0</v>
      </c>
      <c r="AL995" s="100">
        <v>0</v>
      </c>
      <c r="AM995" s="100">
        <v>0</v>
      </c>
      <c r="AN995" s="100">
        <v>0</v>
      </c>
      <c r="AO995" s="100">
        <f>IFERROR(AF995*20+(((AJ995/AH995)/2)*20),0)</f>
        <v>79360</v>
      </c>
      <c r="AP995" s="100">
        <f t="shared" si="583"/>
        <v>318802</v>
      </c>
      <c r="AQ995" s="101">
        <f t="shared" si="573"/>
        <v>6694823</v>
      </c>
      <c r="AR995" s="101">
        <v>0</v>
      </c>
      <c r="AS995" s="101">
        <v>0</v>
      </c>
      <c r="AT995" s="102" t="s">
        <v>33</v>
      </c>
      <c r="AU995" s="109" t="s">
        <v>118</v>
      </c>
      <c r="AV995" s="100">
        <v>0</v>
      </c>
      <c r="AW995" s="105">
        <v>0</v>
      </c>
      <c r="AX995" s="216">
        <f t="shared" si="576"/>
        <v>3.0953221090835754</v>
      </c>
      <c r="AY995" s="217">
        <f t="shared" si="577"/>
        <v>194863</v>
      </c>
      <c r="AZ995" s="107"/>
      <c r="BA995" s="94">
        <v>45669.888888888891</v>
      </c>
      <c r="BB995" s="94">
        <v>45669.899305555555</v>
      </c>
      <c r="BC995" s="94">
        <v>45669.945833333331</v>
      </c>
      <c r="BD995" s="94">
        <v>45670.086111111108</v>
      </c>
      <c r="BE995" s="95">
        <f t="shared" si="578"/>
        <v>0.19722222221753327</v>
      </c>
      <c r="BF995" s="95">
        <v>0</v>
      </c>
      <c r="BG995" s="95">
        <v>6.5277777777777782E-2</v>
      </c>
      <c r="BH995" s="95">
        <f t="shared" si="579"/>
        <v>1.0416666664241347E-2</v>
      </c>
      <c r="BI995" s="95">
        <f t="shared" si="579"/>
        <v>4.6527777776645962E-2</v>
      </c>
      <c r="BJ995" s="95">
        <f t="shared" si="579"/>
        <v>0.14027777777664596</v>
      </c>
      <c r="BK995" s="95">
        <f t="shared" si="580"/>
        <v>0.18680555555329192</v>
      </c>
      <c r="BL995" s="95">
        <f t="shared" si="581"/>
        <v>0.12152777777551414</v>
      </c>
      <c r="BM995" s="95" t="str">
        <f t="shared" si="582"/>
        <v>00:00</v>
      </c>
      <c r="BN995" s="110"/>
    </row>
    <row r="996" spans="1:66" s="8" customFormat="1" ht="12.75" customHeight="1" x14ac:dyDescent="0.25">
      <c r="A996" s="150">
        <v>917</v>
      </c>
      <c r="B996" s="150">
        <v>43</v>
      </c>
      <c r="C996" s="90">
        <v>8</v>
      </c>
      <c r="D996" s="111" t="s">
        <v>148</v>
      </c>
      <c r="E996" s="210" t="s">
        <v>1051</v>
      </c>
      <c r="F996" s="150" t="s">
        <v>19</v>
      </c>
      <c r="G996" s="150" t="s">
        <v>17</v>
      </c>
      <c r="H996" s="150" t="s">
        <v>150</v>
      </c>
      <c r="I996" s="150" t="s">
        <v>536</v>
      </c>
      <c r="J996" s="151">
        <v>45668</v>
      </c>
      <c r="K996" s="135" t="s">
        <v>122</v>
      </c>
      <c r="L996" s="135">
        <v>461000667</v>
      </c>
      <c r="M996" s="151">
        <v>45670</v>
      </c>
      <c r="N996" s="152">
        <v>45670.427083333336</v>
      </c>
      <c r="O996" s="152">
        <v>45670.427083333336</v>
      </c>
      <c r="P996" s="152">
        <v>45670.4375</v>
      </c>
      <c r="Q996" s="152">
        <v>45670.625</v>
      </c>
      <c r="R996" s="152" t="s">
        <v>118</v>
      </c>
      <c r="S996" s="152" t="s">
        <v>118</v>
      </c>
      <c r="T996" s="152">
        <v>45670.645833333336</v>
      </c>
      <c r="U996" s="152">
        <v>45670.8125</v>
      </c>
      <c r="V996" s="219">
        <f t="shared" si="574"/>
        <v>0.19791666666424135</v>
      </c>
      <c r="W996" s="203">
        <v>0.20833333333333334</v>
      </c>
      <c r="X996" s="219" t="str">
        <f t="shared" si="575"/>
        <v>00:00</v>
      </c>
      <c r="Y996" s="96">
        <v>0</v>
      </c>
      <c r="Z996" s="96">
        <v>58</v>
      </c>
      <c r="AA996" s="96">
        <f t="shared" si="584"/>
        <v>58</v>
      </c>
      <c r="AB996" s="97">
        <f t="shared" si="585"/>
        <v>0</v>
      </c>
      <c r="AC996" s="97">
        <f t="shared" si="586"/>
        <v>4070.97</v>
      </c>
      <c r="AD996" s="98">
        <v>4070.97</v>
      </c>
      <c r="AE996" s="98">
        <v>4044</v>
      </c>
      <c r="AF996" s="98">
        <v>4086.8</v>
      </c>
      <c r="AG996" s="98">
        <f t="shared" si="587"/>
        <v>15.830000000000382</v>
      </c>
      <c r="AH996" s="99">
        <v>672.5</v>
      </c>
      <c r="AI996" s="100">
        <f t="shared" si="588"/>
        <v>2748373</v>
      </c>
      <c r="AJ996" s="100">
        <f t="shared" ref="AJ996:AJ1002" si="590">(0*AH996)*2</f>
        <v>0</v>
      </c>
      <c r="AK996" s="100">
        <v>0</v>
      </c>
      <c r="AL996" s="100">
        <v>48280</v>
      </c>
      <c r="AM996" s="100">
        <v>0</v>
      </c>
      <c r="AN996" s="100">
        <v>0</v>
      </c>
      <c r="AO996" s="100">
        <v>0</v>
      </c>
      <c r="AP996" s="100">
        <f t="shared" si="583"/>
        <v>139833</v>
      </c>
      <c r="AQ996" s="101">
        <f t="shared" si="573"/>
        <v>2936486</v>
      </c>
      <c r="AR996" s="101">
        <v>0</v>
      </c>
      <c r="AS996" s="101">
        <v>0</v>
      </c>
      <c r="AT996" s="102" t="s">
        <v>33</v>
      </c>
      <c r="AU996" s="109">
        <v>28</v>
      </c>
      <c r="AV996" s="100">
        <f>61.2-35.7</f>
        <v>25.5</v>
      </c>
      <c r="AW996" s="105">
        <v>0</v>
      </c>
      <c r="AX996" s="216">
        <f t="shared" si="576"/>
        <v>0.38734462170892586</v>
      </c>
      <c r="AY996" s="217">
        <f t="shared" si="577"/>
        <v>10646</v>
      </c>
      <c r="AZ996" s="107"/>
      <c r="BA996" s="94">
        <v>45670.427083333336</v>
      </c>
      <c r="BB996" s="94">
        <v>45670.4375</v>
      </c>
      <c r="BC996" s="94">
        <v>45670.4375</v>
      </c>
      <c r="BD996" s="94">
        <v>45670.565972222219</v>
      </c>
      <c r="BE996" s="95">
        <f t="shared" si="578"/>
        <v>0.13888888888322981</v>
      </c>
      <c r="BF996" s="95">
        <v>0</v>
      </c>
      <c r="BG996" s="95">
        <v>0</v>
      </c>
      <c r="BH996" s="95">
        <f t="shared" si="579"/>
        <v>1.0416666664241347E-2</v>
      </c>
      <c r="BI996" s="95">
        <f t="shared" si="579"/>
        <v>0</v>
      </c>
      <c r="BJ996" s="95">
        <f t="shared" si="579"/>
        <v>0.12847222221898846</v>
      </c>
      <c r="BK996" s="95">
        <f t="shared" si="580"/>
        <v>0.12847222221898846</v>
      </c>
      <c r="BL996" s="95">
        <f t="shared" si="581"/>
        <v>0.12847222221898846</v>
      </c>
      <c r="BM996" s="95" t="str">
        <f t="shared" si="582"/>
        <v>00:00</v>
      </c>
      <c r="BN996" s="110"/>
    </row>
    <row r="997" spans="1:66" s="8" customFormat="1" ht="12.75" customHeight="1" x14ac:dyDescent="0.25">
      <c r="A997" s="150">
        <v>918</v>
      </c>
      <c r="B997" s="150">
        <v>44</v>
      </c>
      <c r="C997" s="90">
        <v>9</v>
      </c>
      <c r="D997" s="111" t="s">
        <v>148</v>
      </c>
      <c r="E997" s="210" t="s">
        <v>1051</v>
      </c>
      <c r="F997" s="150" t="s">
        <v>19</v>
      </c>
      <c r="G997" s="150" t="s">
        <v>17</v>
      </c>
      <c r="H997" s="150" t="s">
        <v>150</v>
      </c>
      <c r="I997" s="150" t="s">
        <v>537</v>
      </c>
      <c r="J997" s="151">
        <v>45668</v>
      </c>
      <c r="K997" s="135" t="s">
        <v>117</v>
      </c>
      <c r="L997" s="135">
        <v>461000668</v>
      </c>
      <c r="M997" s="151">
        <v>45671</v>
      </c>
      <c r="N997" s="152">
        <v>45670.645833333336</v>
      </c>
      <c r="O997" s="152">
        <v>45670.645833333336</v>
      </c>
      <c r="P997" s="152">
        <v>45670.663194444445</v>
      </c>
      <c r="Q997" s="152">
        <v>45670.833333333336</v>
      </c>
      <c r="R997" s="152" t="s">
        <v>118</v>
      </c>
      <c r="S997" s="152" t="s">
        <v>118</v>
      </c>
      <c r="T997" s="152">
        <v>45670.895833333336</v>
      </c>
      <c r="U997" s="152">
        <v>45671.0625</v>
      </c>
      <c r="V997" s="219">
        <f t="shared" si="574"/>
        <v>0.1875</v>
      </c>
      <c r="W997" s="203">
        <v>0.20833333333333334</v>
      </c>
      <c r="X997" s="219" t="str">
        <f t="shared" si="575"/>
        <v>00:00</v>
      </c>
      <c r="Y997" s="96">
        <v>0</v>
      </c>
      <c r="Z997" s="96">
        <v>54</v>
      </c>
      <c r="AA997" s="96">
        <f t="shared" si="584"/>
        <v>54</v>
      </c>
      <c r="AB997" s="97">
        <f t="shared" si="585"/>
        <v>0</v>
      </c>
      <c r="AC997" s="97">
        <f t="shared" si="586"/>
        <v>3808.6799999999994</v>
      </c>
      <c r="AD997" s="98">
        <v>3808.68</v>
      </c>
      <c r="AE997" s="98">
        <v>3770.2</v>
      </c>
      <c r="AF997" s="98">
        <v>3815.8</v>
      </c>
      <c r="AG997" s="98">
        <f t="shared" si="587"/>
        <v>7.1200000000003456</v>
      </c>
      <c r="AH997" s="99">
        <v>672.5</v>
      </c>
      <c r="AI997" s="100">
        <f t="shared" si="588"/>
        <v>2566125.5</v>
      </c>
      <c r="AJ997" s="100">
        <f t="shared" si="590"/>
        <v>0</v>
      </c>
      <c r="AK997" s="100">
        <v>0</v>
      </c>
      <c r="AL997" s="100">
        <v>47080</v>
      </c>
      <c r="AM997" s="100">
        <v>0</v>
      </c>
      <c r="AN997" s="100">
        <v>0</v>
      </c>
      <c r="AO997" s="100">
        <v>0</v>
      </c>
      <c r="AP997" s="100">
        <f t="shared" si="583"/>
        <v>130661</v>
      </c>
      <c r="AQ997" s="101">
        <f t="shared" si="573"/>
        <v>2743867</v>
      </c>
      <c r="AR997" s="101">
        <v>0</v>
      </c>
      <c r="AS997" s="101">
        <v>0</v>
      </c>
      <c r="AT997" s="102" t="s">
        <v>33</v>
      </c>
      <c r="AU997" s="109">
        <v>36</v>
      </c>
      <c r="AV997" s="100"/>
      <c r="AW997" s="105">
        <v>0</v>
      </c>
      <c r="AX997" s="216">
        <f t="shared" si="576"/>
        <v>0.18659258871010917</v>
      </c>
      <c r="AY997" s="217">
        <f t="shared" si="577"/>
        <v>4789</v>
      </c>
      <c r="AZ997" s="107"/>
      <c r="BA997" s="94">
        <v>45670.645833333336</v>
      </c>
      <c r="BB997" s="94">
        <v>45670.663194444445</v>
      </c>
      <c r="BC997" s="94">
        <v>45670.663194444445</v>
      </c>
      <c r="BD997" s="94">
        <v>45670.787499999999</v>
      </c>
      <c r="BE997" s="95">
        <f t="shared" si="578"/>
        <v>0.14166666666278616</v>
      </c>
      <c r="BF997" s="95">
        <v>0</v>
      </c>
      <c r="BG997" s="95">
        <v>4.1666666666666666E-3</v>
      </c>
      <c r="BH997" s="95">
        <f t="shared" si="579"/>
        <v>1.7361111109494232E-2</v>
      </c>
      <c r="BI997" s="95">
        <f t="shared" si="579"/>
        <v>0</v>
      </c>
      <c r="BJ997" s="95">
        <f t="shared" si="579"/>
        <v>0.12430555555329192</v>
      </c>
      <c r="BK997" s="95">
        <f t="shared" si="580"/>
        <v>0.12430555555329192</v>
      </c>
      <c r="BL997" s="95">
        <f t="shared" si="581"/>
        <v>0.12013888888662526</v>
      </c>
      <c r="BM997" s="95" t="str">
        <f t="shared" si="582"/>
        <v>00:00</v>
      </c>
      <c r="BN997" s="110"/>
    </row>
    <row r="998" spans="1:66" s="8" customFormat="1" ht="12.75" customHeight="1" x14ac:dyDescent="0.25">
      <c r="A998" s="150">
        <v>919</v>
      </c>
      <c r="B998" s="150">
        <v>45</v>
      </c>
      <c r="C998" s="90">
        <v>18</v>
      </c>
      <c r="D998" s="111" t="s">
        <v>113</v>
      </c>
      <c r="E998" s="210" t="s">
        <v>991</v>
      </c>
      <c r="F998" s="150" t="s">
        <v>27</v>
      </c>
      <c r="G998" s="150" t="s">
        <v>12</v>
      </c>
      <c r="H998" s="150" t="s">
        <v>115</v>
      </c>
      <c r="I998" s="150" t="s">
        <v>1058</v>
      </c>
      <c r="J998" s="151">
        <v>45670</v>
      </c>
      <c r="K998" s="135" t="s">
        <v>122</v>
      </c>
      <c r="L998" s="135">
        <v>282001107</v>
      </c>
      <c r="M998" s="151">
        <v>45671</v>
      </c>
      <c r="N998" s="152">
        <v>45670.854166666664</v>
      </c>
      <c r="O998" s="152">
        <v>45670.854166666664</v>
      </c>
      <c r="P998" s="152">
        <v>45670.861111111109</v>
      </c>
      <c r="Q998" s="152">
        <v>45671.041666666664</v>
      </c>
      <c r="R998" s="152" t="s">
        <v>118</v>
      </c>
      <c r="S998" s="152" t="s">
        <v>118</v>
      </c>
      <c r="T998" s="152">
        <v>45671.152777777781</v>
      </c>
      <c r="U998" s="152">
        <v>45671.228472222225</v>
      </c>
      <c r="V998" s="219">
        <f t="shared" si="574"/>
        <v>0.1875</v>
      </c>
      <c r="W998" s="203">
        <v>0.20833333333333334</v>
      </c>
      <c r="X998" s="219" t="str">
        <f t="shared" si="575"/>
        <v>00:00</v>
      </c>
      <c r="Y998" s="96">
        <v>0</v>
      </c>
      <c r="Z998" s="96">
        <v>59</v>
      </c>
      <c r="AA998" s="96">
        <f t="shared" si="584"/>
        <v>59</v>
      </c>
      <c r="AB998" s="97">
        <f t="shared" si="585"/>
        <v>0</v>
      </c>
      <c r="AC998" s="97">
        <f t="shared" si="586"/>
        <v>3980.37</v>
      </c>
      <c r="AD998" s="98">
        <v>3980.37</v>
      </c>
      <c r="AE998" s="98">
        <v>4122.8</v>
      </c>
      <c r="AF998" s="98">
        <v>4123.8</v>
      </c>
      <c r="AG998" s="98">
        <f t="shared" si="587"/>
        <v>143.43000000000029</v>
      </c>
      <c r="AH998" s="99">
        <v>1586.7</v>
      </c>
      <c r="AI998" s="100">
        <f t="shared" si="588"/>
        <v>6543233.4600000009</v>
      </c>
      <c r="AJ998" s="100">
        <f t="shared" si="590"/>
        <v>0</v>
      </c>
      <c r="AK998" s="100">
        <v>0</v>
      </c>
      <c r="AL998" s="100">
        <v>0</v>
      </c>
      <c r="AM998" s="100">
        <v>0</v>
      </c>
      <c r="AN998" s="100">
        <v>0</v>
      </c>
      <c r="AO998" s="100">
        <f>IFERROR(AF998*20+(((AJ998/AH998)/2)*20),0)</f>
        <v>82476</v>
      </c>
      <c r="AP998" s="100">
        <f t="shared" si="583"/>
        <v>331286</v>
      </c>
      <c r="AQ998" s="101">
        <f t="shared" si="573"/>
        <v>6956996</v>
      </c>
      <c r="AR998" s="101">
        <v>0</v>
      </c>
      <c r="AS998" s="101">
        <v>0</v>
      </c>
      <c r="AT998" s="102" t="s">
        <v>33</v>
      </c>
      <c r="AU998" s="109" t="s">
        <v>118</v>
      </c>
      <c r="AV998" s="100">
        <v>0</v>
      </c>
      <c r="AW998" s="105">
        <v>0</v>
      </c>
      <c r="AX998" s="216">
        <f t="shared" si="576"/>
        <v>3.4781027207915103</v>
      </c>
      <c r="AY998" s="217">
        <f t="shared" si="577"/>
        <v>227581</v>
      </c>
      <c r="AZ998" s="107"/>
      <c r="BA998" s="94">
        <v>45670.854166666664</v>
      </c>
      <c r="BB998" s="94">
        <v>45670.861111111109</v>
      </c>
      <c r="BC998" s="94">
        <v>45670.861111111109</v>
      </c>
      <c r="BD998" s="94">
        <v>45671.010416666664</v>
      </c>
      <c r="BE998" s="95">
        <f t="shared" si="578"/>
        <v>0.15625</v>
      </c>
      <c r="BF998" s="95">
        <v>0</v>
      </c>
      <c r="BG998" s="95">
        <v>2.0833333333333332E-2</v>
      </c>
      <c r="BH998" s="95">
        <f t="shared" si="579"/>
        <v>6.9444444452528842E-3</v>
      </c>
      <c r="BI998" s="95">
        <f t="shared" si="579"/>
        <v>0</v>
      </c>
      <c r="BJ998" s="95">
        <f t="shared" si="579"/>
        <v>0.14930555555474712</v>
      </c>
      <c r="BK998" s="95">
        <f t="shared" si="580"/>
        <v>0.14930555555474712</v>
      </c>
      <c r="BL998" s="95">
        <f t="shared" si="581"/>
        <v>0.12847222222141377</v>
      </c>
      <c r="BM998" s="95" t="str">
        <f t="shared" si="582"/>
        <v>00:00</v>
      </c>
      <c r="BN998" s="110"/>
    </row>
    <row r="999" spans="1:66" s="8" customFormat="1" ht="12.75" customHeight="1" x14ac:dyDescent="0.25">
      <c r="A999" s="150">
        <v>920</v>
      </c>
      <c r="B999" s="150">
        <v>46</v>
      </c>
      <c r="C999" s="90">
        <v>10</v>
      </c>
      <c r="D999" s="111" t="s">
        <v>148</v>
      </c>
      <c r="E999" s="210" t="s">
        <v>1051</v>
      </c>
      <c r="F999" s="150" t="s">
        <v>19</v>
      </c>
      <c r="G999" s="150" t="s">
        <v>17</v>
      </c>
      <c r="H999" s="150" t="s">
        <v>150</v>
      </c>
      <c r="I999" s="150" t="s">
        <v>540</v>
      </c>
      <c r="J999" s="151">
        <v>45668</v>
      </c>
      <c r="K999" s="135" t="s">
        <v>117</v>
      </c>
      <c r="L999" s="135">
        <v>461000669</v>
      </c>
      <c r="M999" s="151">
        <v>45671</v>
      </c>
      <c r="N999" s="152">
        <v>45671.15625</v>
      </c>
      <c r="O999" s="152">
        <v>45671.145833333336</v>
      </c>
      <c r="P999" s="152">
        <v>45671.159722222219</v>
      </c>
      <c r="Q999" s="152">
        <v>45671.333333333336</v>
      </c>
      <c r="R999" s="152">
        <v>45671.15625</v>
      </c>
      <c r="S999" s="152" t="s">
        <v>118</v>
      </c>
      <c r="T999" s="152">
        <v>45671.354166666664</v>
      </c>
      <c r="U999" s="152">
        <v>45671.472222222219</v>
      </c>
      <c r="V999" s="219">
        <f t="shared" si="574"/>
        <v>0.1875</v>
      </c>
      <c r="W999" s="203">
        <v>0.20833333333333334</v>
      </c>
      <c r="X999" s="219" t="str">
        <f t="shared" si="575"/>
        <v>00:00</v>
      </c>
      <c r="Y999" s="96">
        <v>0</v>
      </c>
      <c r="Z999" s="96">
        <v>58</v>
      </c>
      <c r="AA999" s="96">
        <f t="shared" si="584"/>
        <v>58</v>
      </c>
      <c r="AB999" s="97">
        <f t="shared" si="585"/>
        <v>0</v>
      </c>
      <c r="AC999" s="97">
        <f t="shared" si="586"/>
        <v>4045</v>
      </c>
      <c r="AD999" s="98">
        <v>4045</v>
      </c>
      <c r="AE999" s="98">
        <v>4037.5</v>
      </c>
      <c r="AF999" s="98">
        <v>4067.6</v>
      </c>
      <c r="AG999" s="98">
        <f t="shared" si="587"/>
        <v>22.599999999999909</v>
      </c>
      <c r="AH999" s="99">
        <v>672.5</v>
      </c>
      <c r="AI999" s="100">
        <f t="shared" si="588"/>
        <v>2735461</v>
      </c>
      <c r="AJ999" s="100">
        <f t="shared" si="590"/>
        <v>0</v>
      </c>
      <c r="AK999" s="100">
        <v>0</v>
      </c>
      <c r="AL999" s="100">
        <v>24140</v>
      </c>
      <c r="AM999" s="100">
        <v>0</v>
      </c>
      <c r="AN999" s="100">
        <v>0</v>
      </c>
      <c r="AO999" s="100">
        <v>0</v>
      </c>
      <c r="AP999" s="100">
        <f t="shared" si="583"/>
        <v>137981</v>
      </c>
      <c r="AQ999" s="101">
        <f t="shared" si="573"/>
        <v>2897582</v>
      </c>
      <c r="AR999" s="101">
        <v>0</v>
      </c>
      <c r="AS999" s="101">
        <v>0</v>
      </c>
      <c r="AT999" s="102" t="s">
        <v>33</v>
      </c>
      <c r="AU999" s="109">
        <v>17</v>
      </c>
      <c r="AV999" s="100">
        <f>38.79-25.79</f>
        <v>13</v>
      </c>
      <c r="AW999" s="105">
        <v>0</v>
      </c>
      <c r="AX999" s="216">
        <f t="shared" si="576"/>
        <v>0.55561018782574267</v>
      </c>
      <c r="AY999" s="217">
        <f t="shared" si="577"/>
        <v>15199</v>
      </c>
      <c r="AZ999" s="107"/>
      <c r="BA999" s="94">
        <v>45671.15625</v>
      </c>
      <c r="BB999" s="94">
        <v>45671.159722222219</v>
      </c>
      <c r="BC999" s="94">
        <v>45671.177083333336</v>
      </c>
      <c r="BD999" s="94">
        <v>45671.302083333336</v>
      </c>
      <c r="BE999" s="95">
        <f t="shared" si="578"/>
        <v>0.14583333333575865</v>
      </c>
      <c r="BF999" s="95">
        <v>0</v>
      </c>
      <c r="BG999" s="95">
        <v>1.7361111111111112E-2</v>
      </c>
      <c r="BH999" s="95">
        <f t="shared" si="579"/>
        <v>3.4722222189884633E-3</v>
      </c>
      <c r="BI999" s="95">
        <f t="shared" si="579"/>
        <v>1.7361111116770189E-2</v>
      </c>
      <c r="BJ999" s="95">
        <f t="shared" si="579"/>
        <v>0.125</v>
      </c>
      <c r="BK999" s="95">
        <f t="shared" si="580"/>
        <v>0.14236111111677019</v>
      </c>
      <c r="BL999" s="95">
        <f t="shared" si="581"/>
        <v>0.12500000000565908</v>
      </c>
      <c r="BM999" s="95" t="str">
        <f t="shared" si="582"/>
        <v>00:00</v>
      </c>
      <c r="BN999" s="110"/>
    </row>
    <row r="1000" spans="1:66" s="8" customFormat="1" ht="12.75" customHeight="1" x14ac:dyDescent="0.25">
      <c r="A1000" s="150">
        <v>921</v>
      </c>
      <c r="B1000" s="150">
        <v>47</v>
      </c>
      <c r="C1000" s="90">
        <v>11</v>
      </c>
      <c r="D1000" s="111" t="s">
        <v>148</v>
      </c>
      <c r="E1000" s="210" t="s">
        <v>1051</v>
      </c>
      <c r="F1000" s="150" t="s">
        <v>19</v>
      </c>
      <c r="G1000" s="150" t="s">
        <v>17</v>
      </c>
      <c r="H1000" s="150" t="s">
        <v>150</v>
      </c>
      <c r="I1000" s="150" t="s">
        <v>542</v>
      </c>
      <c r="J1000" s="151">
        <v>45670</v>
      </c>
      <c r="K1000" s="135" t="s">
        <v>122</v>
      </c>
      <c r="L1000" s="135">
        <v>461000670</v>
      </c>
      <c r="M1000" s="151">
        <v>45671</v>
      </c>
      <c r="N1000" s="152">
        <v>45671.354166666664</v>
      </c>
      <c r="O1000" s="152">
        <v>45671.354166666664</v>
      </c>
      <c r="P1000" s="152">
        <v>45671.361111111109</v>
      </c>
      <c r="Q1000" s="152">
        <v>45671.541666666664</v>
      </c>
      <c r="R1000" s="152" t="s">
        <v>118</v>
      </c>
      <c r="S1000" s="152" t="s">
        <v>118</v>
      </c>
      <c r="T1000" s="152">
        <v>45671.583333333336</v>
      </c>
      <c r="U1000" s="152">
        <v>45671.743055555555</v>
      </c>
      <c r="V1000" s="219">
        <f t="shared" si="574"/>
        <v>0.1875</v>
      </c>
      <c r="W1000" s="203">
        <v>0.20833333333333334</v>
      </c>
      <c r="X1000" s="219" t="str">
        <f t="shared" si="575"/>
        <v>00:00</v>
      </c>
      <c r="Y1000" s="96">
        <v>0</v>
      </c>
      <c r="Z1000" s="96">
        <v>59</v>
      </c>
      <c r="AA1000" s="96">
        <f t="shared" si="584"/>
        <v>59</v>
      </c>
      <c r="AB1000" s="97">
        <f t="shared" si="585"/>
        <v>0</v>
      </c>
      <c r="AC1000" s="97">
        <f t="shared" si="586"/>
        <v>4160.97</v>
      </c>
      <c r="AD1000" s="98">
        <v>4160.97</v>
      </c>
      <c r="AE1000" s="98">
        <v>4127.3999999999996</v>
      </c>
      <c r="AF1000" s="98">
        <v>4172</v>
      </c>
      <c r="AG1000" s="98">
        <f t="shared" si="587"/>
        <v>11.029999999999745</v>
      </c>
      <c r="AH1000" s="99">
        <v>672.5</v>
      </c>
      <c r="AI1000" s="100">
        <f t="shared" si="588"/>
        <v>2805670</v>
      </c>
      <c r="AJ1000" s="100">
        <f t="shared" si="590"/>
        <v>0</v>
      </c>
      <c r="AK1000" s="100">
        <v>0</v>
      </c>
      <c r="AL1000" s="100">
        <v>48580</v>
      </c>
      <c r="AM1000" s="100">
        <v>0</v>
      </c>
      <c r="AN1000" s="100">
        <v>0</v>
      </c>
      <c r="AO1000" s="100">
        <v>0</v>
      </c>
      <c r="AP1000" s="100">
        <f t="shared" si="583"/>
        <v>142713</v>
      </c>
      <c r="AQ1000" s="101">
        <f t="shared" si="573"/>
        <v>2996963</v>
      </c>
      <c r="AR1000" s="101">
        <v>0</v>
      </c>
      <c r="AS1000" s="101">
        <v>0</v>
      </c>
      <c r="AT1000" s="102" t="s">
        <v>33</v>
      </c>
      <c r="AU1000" s="109">
        <v>28</v>
      </c>
      <c r="AV1000" s="100">
        <f>66.87-38.37</f>
        <v>28.500000000000007</v>
      </c>
      <c r="AW1000" s="105">
        <v>0</v>
      </c>
      <c r="AX1000" s="216">
        <f t="shared" si="576"/>
        <v>0.26438159156279351</v>
      </c>
      <c r="AY1000" s="217">
        <f t="shared" si="577"/>
        <v>7418</v>
      </c>
      <c r="AZ1000" s="107"/>
      <c r="BA1000" s="94">
        <v>45671.354166666664</v>
      </c>
      <c r="BB1000" s="94">
        <v>45671.361111111109</v>
      </c>
      <c r="BC1000" s="94">
        <v>45671.361111111109</v>
      </c>
      <c r="BD1000" s="94">
        <v>45671.513888888891</v>
      </c>
      <c r="BE1000" s="95">
        <f t="shared" si="578"/>
        <v>0.15972222222626442</v>
      </c>
      <c r="BF1000" s="95">
        <v>0</v>
      </c>
      <c r="BG1000" s="95">
        <v>1.3194444444444444E-2</v>
      </c>
      <c r="BH1000" s="95">
        <f t="shared" si="579"/>
        <v>6.9444444452528842E-3</v>
      </c>
      <c r="BI1000" s="95">
        <f t="shared" si="579"/>
        <v>0</v>
      </c>
      <c r="BJ1000" s="95">
        <f t="shared" si="579"/>
        <v>0.15277777778101154</v>
      </c>
      <c r="BK1000" s="95">
        <f t="shared" si="580"/>
        <v>0.15277777778101154</v>
      </c>
      <c r="BL1000" s="95">
        <f t="shared" si="581"/>
        <v>0.13958333333656708</v>
      </c>
      <c r="BM1000" s="95" t="str">
        <f t="shared" si="582"/>
        <v>00:00</v>
      </c>
      <c r="BN1000" s="110"/>
    </row>
    <row r="1001" spans="1:66" s="8" customFormat="1" ht="12.75" customHeight="1" x14ac:dyDescent="0.25">
      <c r="A1001" s="115">
        <v>922</v>
      </c>
      <c r="B1001" s="115">
        <v>48</v>
      </c>
      <c r="C1001" s="115">
        <v>19</v>
      </c>
      <c r="D1001" s="115" t="s">
        <v>113</v>
      </c>
      <c r="E1001" s="210" t="s">
        <v>991</v>
      </c>
      <c r="F1001" s="115" t="s">
        <v>27</v>
      </c>
      <c r="G1001" s="115" t="s">
        <v>12</v>
      </c>
      <c r="H1001" s="115" t="s">
        <v>115</v>
      </c>
      <c r="I1001" s="115" t="s">
        <v>1059</v>
      </c>
      <c r="J1001" s="117">
        <v>45671</v>
      </c>
      <c r="K1001" s="116" t="s">
        <v>117</v>
      </c>
      <c r="L1001" s="116">
        <v>282001108</v>
      </c>
      <c r="M1001" s="117">
        <v>45672</v>
      </c>
      <c r="N1001" s="118">
        <v>45671.583333333336</v>
      </c>
      <c r="O1001" s="118">
        <v>45671.583333333336</v>
      </c>
      <c r="P1001" s="118">
        <v>45671.59375</v>
      </c>
      <c r="Q1001" s="118">
        <v>45671.791666666664</v>
      </c>
      <c r="R1001" s="118" t="s">
        <v>118</v>
      </c>
      <c r="S1001" s="118" t="s">
        <v>118</v>
      </c>
      <c r="T1001" s="118">
        <v>45671.854166666664</v>
      </c>
      <c r="U1001" s="118">
        <v>45671.944444444445</v>
      </c>
      <c r="V1001" s="119">
        <f t="shared" si="574"/>
        <v>0.20833333332848269</v>
      </c>
      <c r="W1001" s="185">
        <v>0.20833333333333334</v>
      </c>
      <c r="X1001" s="119" t="str">
        <f t="shared" si="575"/>
        <v>00:00</v>
      </c>
      <c r="Y1001" s="96">
        <v>1</v>
      </c>
      <c r="Z1001" s="96">
        <v>10</v>
      </c>
      <c r="AA1001" s="96">
        <f t="shared" si="584"/>
        <v>11</v>
      </c>
      <c r="AB1001" s="97">
        <f t="shared" si="585"/>
        <v>67.997272727272744</v>
      </c>
      <c r="AC1001" s="97">
        <f t="shared" si="586"/>
        <v>679.97272727272741</v>
      </c>
      <c r="AD1001" s="98">
        <f>3975.67-3227.7</f>
        <v>747.97000000000025</v>
      </c>
      <c r="AE1001" s="98">
        <f>4027.6-3264.2</f>
        <v>763.40000000000009</v>
      </c>
      <c r="AF1001" s="98">
        <f>4043.4-3279.8</f>
        <v>763.59999999999991</v>
      </c>
      <c r="AG1001" s="98">
        <f t="shared" si="587"/>
        <v>15.629999999999654</v>
      </c>
      <c r="AH1001" s="99">
        <v>1586.7</v>
      </c>
      <c r="AI1001" s="100">
        <f t="shared" si="588"/>
        <v>1211604.1199999999</v>
      </c>
      <c r="AJ1001" s="100">
        <f t="shared" si="590"/>
        <v>0</v>
      </c>
      <c r="AK1001" s="100">
        <v>0</v>
      </c>
      <c r="AL1001" s="100">
        <v>24140</v>
      </c>
      <c r="AM1001" s="100">
        <v>0</v>
      </c>
      <c r="AN1001" s="100">
        <v>0</v>
      </c>
      <c r="AO1001" s="100">
        <f>IFERROR(AF1001*20+(((AJ1001/AH1001)/2)*20),0)</f>
        <v>15271.999999999998</v>
      </c>
      <c r="AP1001" s="100">
        <f t="shared" si="583"/>
        <v>62551</v>
      </c>
      <c r="AQ1001" s="101">
        <f>ROUNDUP(SUM(AI1001:AP1001),0)-1</f>
        <v>1313567</v>
      </c>
      <c r="AR1001" s="101">
        <v>0</v>
      </c>
      <c r="AS1001" s="101">
        <v>0</v>
      </c>
      <c r="AT1001" s="137" t="s">
        <v>33</v>
      </c>
      <c r="AU1001" s="120">
        <v>10</v>
      </c>
      <c r="AV1001" s="121">
        <f>21.47-13.97</f>
        <v>7.4999999999999982</v>
      </c>
      <c r="AW1001" s="105">
        <v>0</v>
      </c>
      <c r="AX1001" s="140">
        <f>IFERROR(((AG1001+AG1002)/(AF1001+AF1002))*100, "")</f>
        <v>1.6750754315674929</v>
      </c>
      <c r="AY1001" s="141">
        <f>ROUNDUP((AG1001+AG1002)*AH1001,0)</f>
        <v>107468</v>
      </c>
      <c r="AZ1001" s="107"/>
      <c r="BA1001" s="118">
        <v>45671.583333333336</v>
      </c>
      <c r="BB1001" s="118">
        <v>45671.59375</v>
      </c>
      <c r="BC1001" s="118">
        <v>45671.600694444445</v>
      </c>
      <c r="BD1001" s="118">
        <v>45671.802083333336</v>
      </c>
      <c r="BE1001" s="119">
        <f t="shared" si="578"/>
        <v>0.21875</v>
      </c>
      <c r="BF1001" s="119">
        <v>2.8472222222222222E-2</v>
      </c>
      <c r="BG1001" s="119">
        <v>5.347222222222222E-2</v>
      </c>
      <c r="BH1001" s="119">
        <f t="shared" si="579"/>
        <v>1.0416666664241347E-2</v>
      </c>
      <c r="BI1001" s="119">
        <f t="shared" si="579"/>
        <v>6.9444444452528842E-3</v>
      </c>
      <c r="BJ1001" s="119">
        <f t="shared" si="579"/>
        <v>0.20138888889050577</v>
      </c>
      <c r="BK1001" s="119">
        <f t="shared" si="580"/>
        <v>0.20833333333575865</v>
      </c>
      <c r="BL1001" s="119">
        <f t="shared" si="581"/>
        <v>0.12638888889131419</v>
      </c>
      <c r="BM1001" s="119">
        <f t="shared" si="582"/>
        <v>1.0416666666666657E-2</v>
      </c>
      <c r="BN1001" s="110" t="s">
        <v>1060</v>
      </c>
    </row>
    <row r="1002" spans="1:66" s="8" customFormat="1" ht="12.75" customHeight="1" x14ac:dyDescent="0.25">
      <c r="A1002" s="122"/>
      <c r="B1002" s="122"/>
      <c r="C1002" s="122"/>
      <c r="D1002" s="122"/>
      <c r="E1002" s="210" t="s">
        <v>985</v>
      </c>
      <c r="F1002" s="122"/>
      <c r="G1002" s="122"/>
      <c r="H1002" s="122"/>
      <c r="I1002" s="122"/>
      <c r="J1002" s="124"/>
      <c r="K1002" s="123"/>
      <c r="L1002" s="123"/>
      <c r="M1002" s="124"/>
      <c r="N1002" s="125"/>
      <c r="O1002" s="125"/>
      <c r="P1002" s="125"/>
      <c r="Q1002" s="125"/>
      <c r="R1002" s="125"/>
      <c r="S1002" s="125"/>
      <c r="T1002" s="125"/>
      <c r="U1002" s="125"/>
      <c r="V1002" s="126"/>
      <c r="W1002" s="189"/>
      <c r="X1002" s="126"/>
      <c r="Y1002" s="96">
        <v>0</v>
      </c>
      <c r="Z1002" s="96">
        <v>47</v>
      </c>
      <c r="AA1002" s="96">
        <f t="shared" si="584"/>
        <v>47</v>
      </c>
      <c r="AB1002" s="97">
        <f t="shared" si="585"/>
        <v>0</v>
      </c>
      <c r="AC1002" s="97">
        <f t="shared" si="586"/>
        <v>3227.7</v>
      </c>
      <c r="AD1002" s="98">
        <v>3227.7</v>
      </c>
      <c r="AE1002" s="98">
        <v>3264.2</v>
      </c>
      <c r="AF1002" s="98">
        <v>3279.8</v>
      </c>
      <c r="AG1002" s="98">
        <f t="shared" si="587"/>
        <v>52.100000000000364</v>
      </c>
      <c r="AH1002" s="99">
        <v>1586.7</v>
      </c>
      <c r="AI1002" s="100">
        <f t="shared" si="588"/>
        <v>5204058.66</v>
      </c>
      <c r="AJ1002" s="100">
        <f t="shared" si="590"/>
        <v>0</v>
      </c>
      <c r="AK1002" s="100">
        <v>0</v>
      </c>
      <c r="AL1002" s="100">
        <v>0</v>
      </c>
      <c r="AM1002" s="100">
        <v>0</v>
      </c>
      <c r="AN1002" s="100">
        <v>0</v>
      </c>
      <c r="AO1002" s="100">
        <f>IFERROR(AF1002*20+(((AJ1002/AH1002)/2)*20),0)</f>
        <v>65596</v>
      </c>
      <c r="AP1002" s="100">
        <f t="shared" si="583"/>
        <v>263483</v>
      </c>
      <c r="AQ1002" s="101">
        <f t="shared" ref="AQ1002:AQ1011" si="591">ROUNDUP(SUM(AI1002:AP1002),0)</f>
        <v>5533138</v>
      </c>
      <c r="AR1002" s="101">
        <v>0</v>
      </c>
      <c r="AS1002" s="101">
        <v>0</v>
      </c>
      <c r="AT1002" s="138"/>
      <c r="AU1002" s="127"/>
      <c r="AV1002" s="128"/>
      <c r="AW1002" s="105">
        <v>0</v>
      </c>
      <c r="AX1002" s="144"/>
      <c r="AY1002" s="145"/>
      <c r="AZ1002" s="107"/>
      <c r="BA1002" s="125"/>
      <c r="BB1002" s="125"/>
      <c r="BC1002" s="125"/>
      <c r="BD1002" s="125"/>
      <c r="BE1002" s="126"/>
      <c r="BF1002" s="126"/>
      <c r="BG1002" s="126"/>
      <c r="BH1002" s="126"/>
      <c r="BI1002" s="126"/>
      <c r="BJ1002" s="126"/>
      <c r="BK1002" s="126"/>
      <c r="BL1002" s="126"/>
      <c r="BM1002" s="126"/>
      <c r="BN1002" s="110" t="s">
        <v>1061</v>
      </c>
    </row>
    <row r="1003" spans="1:66" s="8" customFormat="1" ht="12.75" customHeight="1" x14ac:dyDescent="0.25">
      <c r="A1003" s="150">
        <v>923</v>
      </c>
      <c r="B1003" s="150">
        <v>49</v>
      </c>
      <c r="C1003" s="90">
        <v>12</v>
      </c>
      <c r="D1003" s="111" t="s">
        <v>148</v>
      </c>
      <c r="E1003" s="210" t="s">
        <v>1051</v>
      </c>
      <c r="F1003" s="150" t="s">
        <v>19</v>
      </c>
      <c r="G1003" s="150" t="s">
        <v>17</v>
      </c>
      <c r="H1003" s="150" t="s">
        <v>150</v>
      </c>
      <c r="I1003" s="150" t="s">
        <v>546</v>
      </c>
      <c r="J1003" s="151">
        <v>45670</v>
      </c>
      <c r="K1003" s="135" t="s">
        <v>122</v>
      </c>
      <c r="L1003" s="135">
        <v>461000671</v>
      </c>
      <c r="M1003" s="151">
        <v>45672</v>
      </c>
      <c r="N1003" s="152">
        <v>45671.770833333336</v>
      </c>
      <c r="O1003" s="152">
        <v>45671.770833333336</v>
      </c>
      <c r="P1003" s="152">
        <v>45671.777777777781</v>
      </c>
      <c r="Q1003" s="152">
        <v>45671.9375</v>
      </c>
      <c r="R1003" s="152" t="s">
        <v>118</v>
      </c>
      <c r="S1003" s="152" t="s">
        <v>118</v>
      </c>
      <c r="T1003" s="152">
        <v>45672.027777777781</v>
      </c>
      <c r="U1003" s="152">
        <v>45672.09097222222</v>
      </c>
      <c r="V1003" s="219">
        <f t="shared" ref="V1003:V1012" si="592">+Q1003-O1003</f>
        <v>0.16666666666424135</v>
      </c>
      <c r="W1003" s="203">
        <v>0.20833333333333334</v>
      </c>
      <c r="X1003" s="219" t="str">
        <f t="shared" ref="X1003:X1012" si="593">IF(VALUE(V1003)&lt;=VALUE("05:00"),"00:00",VALUE(V1003)-VALUE("05:00"))</f>
        <v>00:00</v>
      </c>
      <c r="Y1003" s="96">
        <v>0</v>
      </c>
      <c r="Z1003" s="96">
        <v>58</v>
      </c>
      <c r="AA1003" s="96">
        <f t="shared" si="584"/>
        <v>58</v>
      </c>
      <c r="AB1003" s="97">
        <f t="shared" si="585"/>
        <v>0</v>
      </c>
      <c r="AC1003" s="97">
        <f t="shared" si="586"/>
        <v>3988</v>
      </c>
      <c r="AD1003" s="98">
        <v>3988</v>
      </c>
      <c r="AE1003" s="98">
        <v>4060</v>
      </c>
      <c r="AF1003" s="98">
        <v>4064.2</v>
      </c>
      <c r="AG1003" s="98">
        <f t="shared" si="587"/>
        <v>76.199999999999818</v>
      </c>
      <c r="AH1003" s="99">
        <v>672.5</v>
      </c>
      <c r="AI1003" s="100">
        <f t="shared" si="588"/>
        <v>2733174.5</v>
      </c>
      <c r="AJ1003" s="100">
        <f>(0.8*AH1003)*2</f>
        <v>1076</v>
      </c>
      <c r="AK1003" s="100">
        <v>0</v>
      </c>
      <c r="AL1003" s="100">
        <v>0</v>
      </c>
      <c r="AM1003" s="100">
        <v>0</v>
      </c>
      <c r="AN1003" s="100">
        <v>0</v>
      </c>
      <c r="AO1003" s="100">
        <v>0</v>
      </c>
      <c r="AP1003" s="100">
        <f t="shared" si="583"/>
        <v>136713</v>
      </c>
      <c r="AQ1003" s="101">
        <f t="shared" si="591"/>
        <v>2870964</v>
      </c>
      <c r="AR1003" s="101">
        <v>0</v>
      </c>
      <c r="AS1003" s="101">
        <v>0</v>
      </c>
      <c r="AT1003" s="102" t="s">
        <v>33</v>
      </c>
      <c r="AU1003" s="109" t="s">
        <v>118</v>
      </c>
      <c r="AV1003" s="100">
        <v>0</v>
      </c>
      <c r="AW1003" s="105">
        <v>0</v>
      </c>
      <c r="AX1003" s="216">
        <f t="shared" ref="AX1003:AX1011" si="594">IFERROR((AG1003/AF1003)*100, "")</f>
        <v>1.8749077309187494</v>
      </c>
      <c r="AY1003" s="217">
        <f t="shared" ref="AY1003:AY1011" si="595">ROUNDUP(AG1003*AH1003,0)</f>
        <v>51245</v>
      </c>
      <c r="AZ1003" s="107"/>
      <c r="BA1003" s="94">
        <v>45671.770833333336</v>
      </c>
      <c r="BB1003" s="94">
        <v>45671.777777777781</v>
      </c>
      <c r="BC1003" s="94">
        <v>45671.809027777781</v>
      </c>
      <c r="BD1003" s="94">
        <v>45671.923611111109</v>
      </c>
      <c r="BE1003" s="95">
        <f t="shared" ref="BE1003:BE1012" si="596">+BD1003-BA1003</f>
        <v>0.15277777777373558</v>
      </c>
      <c r="BF1003" s="95">
        <v>0</v>
      </c>
      <c r="BG1003" s="95">
        <v>3.125E-2</v>
      </c>
      <c r="BH1003" s="95">
        <f t="shared" ref="BH1003:BJ1012" si="597">+BB1003-BA1003</f>
        <v>6.9444444452528842E-3</v>
      </c>
      <c r="BI1003" s="95">
        <f t="shared" si="597"/>
        <v>3.125E-2</v>
      </c>
      <c r="BJ1003" s="95">
        <f t="shared" si="597"/>
        <v>0.11458333332848269</v>
      </c>
      <c r="BK1003" s="95">
        <f t="shared" ref="BK1003:BK1012" si="598">+BI1003+BJ1003</f>
        <v>0.14583333332848269</v>
      </c>
      <c r="BL1003" s="95">
        <f t="shared" ref="BL1003:BL1012" si="599">+BE1003-BH1003-BF1003-BG1003</f>
        <v>0.11458333332848269</v>
      </c>
      <c r="BM1003" s="95" t="str">
        <f t="shared" ref="BM1003:BM1012" si="600">IF(VALUE(BE1003)&lt;=VALUE("05:00"),"00:00",VALUE(BE1003)-VALUE("05:00"))</f>
        <v>00:00</v>
      </c>
      <c r="BN1003" s="110"/>
    </row>
    <row r="1004" spans="1:66" s="8" customFormat="1" ht="12.75" customHeight="1" x14ac:dyDescent="0.25">
      <c r="A1004" s="150">
        <v>924</v>
      </c>
      <c r="B1004" s="150">
        <v>50</v>
      </c>
      <c r="C1004" s="90">
        <v>13</v>
      </c>
      <c r="D1004" s="111" t="s">
        <v>148</v>
      </c>
      <c r="E1004" s="210" t="s">
        <v>1051</v>
      </c>
      <c r="F1004" s="150" t="s">
        <v>19</v>
      </c>
      <c r="G1004" s="150" t="s">
        <v>17</v>
      </c>
      <c r="H1004" s="150" t="s">
        <v>150</v>
      </c>
      <c r="I1004" s="150" t="s">
        <v>553</v>
      </c>
      <c r="J1004" s="151">
        <v>45670</v>
      </c>
      <c r="K1004" s="135" t="s">
        <v>117</v>
      </c>
      <c r="L1004" s="135">
        <v>461000672</v>
      </c>
      <c r="M1004" s="151">
        <v>45672</v>
      </c>
      <c r="N1004" s="152">
        <v>45672.020833333336</v>
      </c>
      <c r="O1004" s="152">
        <v>45672.020833333336</v>
      </c>
      <c r="P1004" s="152">
        <v>45672.024305555555</v>
      </c>
      <c r="Q1004" s="152">
        <v>45672.229166666664</v>
      </c>
      <c r="R1004" s="152" t="s">
        <v>118</v>
      </c>
      <c r="S1004" s="152" t="s">
        <v>118</v>
      </c>
      <c r="T1004" s="152">
        <v>45672.291666666664</v>
      </c>
      <c r="U1004" s="152">
        <v>45672.430555555555</v>
      </c>
      <c r="V1004" s="219">
        <f t="shared" si="592"/>
        <v>0.20833333332848269</v>
      </c>
      <c r="W1004" s="203">
        <v>0.20833333333333334</v>
      </c>
      <c r="X1004" s="219" t="str">
        <f t="shared" si="593"/>
        <v>00:00</v>
      </c>
      <c r="Y1004" s="96">
        <v>0</v>
      </c>
      <c r="Z1004" s="96">
        <v>59</v>
      </c>
      <c r="AA1004" s="96">
        <f t="shared" si="584"/>
        <v>59</v>
      </c>
      <c r="AB1004" s="97">
        <f t="shared" si="585"/>
        <v>0</v>
      </c>
      <c r="AC1004" s="97">
        <f t="shared" si="586"/>
        <v>4104.16</v>
      </c>
      <c r="AD1004" s="98">
        <v>4104.16</v>
      </c>
      <c r="AE1004" s="98">
        <v>4095.2</v>
      </c>
      <c r="AF1004" s="98">
        <v>4123.2</v>
      </c>
      <c r="AG1004" s="98">
        <f t="shared" si="587"/>
        <v>19.039999999999964</v>
      </c>
      <c r="AH1004" s="99">
        <v>672.5</v>
      </c>
      <c r="AI1004" s="100">
        <f t="shared" si="588"/>
        <v>2772852</v>
      </c>
      <c r="AJ1004" s="100">
        <f>(0*AH1004)*2</f>
        <v>0</v>
      </c>
      <c r="AK1004" s="100">
        <v>0</v>
      </c>
      <c r="AL1004" s="100">
        <v>24290</v>
      </c>
      <c r="AM1004" s="100">
        <v>0</v>
      </c>
      <c r="AN1004" s="100">
        <v>0</v>
      </c>
      <c r="AO1004" s="100">
        <v>0</v>
      </c>
      <c r="AP1004" s="100">
        <f t="shared" si="583"/>
        <v>139858</v>
      </c>
      <c r="AQ1004" s="101">
        <f t="shared" si="591"/>
        <v>2937000</v>
      </c>
      <c r="AR1004" s="101">
        <v>0</v>
      </c>
      <c r="AS1004" s="101">
        <v>0</v>
      </c>
      <c r="AT1004" s="102" t="s">
        <v>33</v>
      </c>
      <c r="AU1004" s="109">
        <v>17</v>
      </c>
      <c r="AV1004" s="100">
        <f>39.16-23.16</f>
        <v>15.999999999999996</v>
      </c>
      <c r="AW1004" s="105">
        <v>0</v>
      </c>
      <c r="AX1004" s="216">
        <f t="shared" si="594"/>
        <v>0.46177726038028627</v>
      </c>
      <c r="AY1004" s="217">
        <f t="shared" si="595"/>
        <v>12805</v>
      </c>
      <c r="AZ1004" s="107"/>
      <c r="BA1004" s="94">
        <v>45672.010416666664</v>
      </c>
      <c r="BB1004" s="94">
        <v>45672.013888888891</v>
      </c>
      <c r="BC1004" s="94">
        <v>45672.013888888891</v>
      </c>
      <c r="BD1004" s="94">
        <v>45672.135416666664</v>
      </c>
      <c r="BE1004" s="95">
        <f t="shared" si="596"/>
        <v>0.125</v>
      </c>
      <c r="BF1004" s="95">
        <v>0</v>
      </c>
      <c r="BG1004" s="95">
        <v>0</v>
      </c>
      <c r="BH1004" s="95">
        <f t="shared" si="597"/>
        <v>3.4722222262644209E-3</v>
      </c>
      <c r="BI1004" s="95">
        <f t="shared" si="597"/>
        <v>0</v>
      </c>
      <c r="BJ1004" s="95">
        <f t="shared" si="597"/>
        <v>0.12152777777373558</v>
      </c>
      <c r="BK1004" s="95">
        <f t="shared" si="598"/>
        <v>0.12152777777373558</v>
      </c>
      <c r="BL1004" s="95">
        <f t="shared" si="599"/>
        <v>0.12152777777373558</v>
      </c>
      <c r="BM1004" s="95" t="str">
        <f t="shared" si="600"/>
        <v>00:00</v>
      </c>
      <c r="BN1004" s="110"/>
    </row>
    <row r="1005" spans="1:66" s="8" customFormat="1" ht="12.75" customHeight="1" x14ac:dyDescent="0.25">
      <c r="A1005" s="150">
        <v>925</v>
      </c>
      <c r="B1005" s="150">
        <v>51</v>
      </c>
      <c r="C1005" s="90">
        <v>14</v>
      </c>
      <c r="D1005" s="111" t="s">
        <v>148</v>
      </c>
      <c r="E1005" s="210" t="s">
        <v>1051</v>
      </c>
      <c r="F1005" s="150" t="s">
        <v>19</v>
      </c>
      <c r="G1005" s="150" t="s">
        <v>17</v>
      </c>
      <c r="H1005" s="150" t="s">
        <v>150</v>
      </c>
      <c r="I1005" s="150" t="s">
        <v>556</v>
      </c>
      <c r="J1005" s="151">
        <v>45670</v>
      </c>
      <c r="K1005" s="135" t="s">
        <v>122</v>
      </c>
      <c r="L1005" s="135">
        <v>461000673</v>
      </c>
      <c r="M1005" s="151">
        <v>45672</v>
      </c>
      <c r="N1005" s="152">
        <v>45672.25</v>
      </c>
      <c r="O1005" s="152">
        <v>45672.25</v>
      </c>
      <c r="P1005" s="152">
        <v>45672.253472222219</v>
      </c>
      <c r="Q1005" s="152">
        <v>45672.4375</v>
      </c>
      <c r="R1005" s="152" t="s">
        <v>118</v>
      </c>
      <c r="S1005" s="152" t="s">
        <v>118</v>
      </c>
      <c r="T1005" s="152">
        <v>45672.5625</v>
      </c>
      <c r="U1005" s="152">
        <v>45672.628472222219</v>
      </c>
      <c r="V1005" s="219">
        <f t="shared" si="592"/>
        <v>0.1875</v>
      </c>
      <c r="W1005" s="203">
        <v>0.20833333333333334</v>
      </c>
      <c r="X1005" s="219" t="str">
        <f t="shared" si="593"/>
        <v>00:00</v>
      </c>
      <c r="Y1005" s="96">
        <v>0</v>
      </c>
      <c r="Z1005" s="96">
        <v>58</v>
      </c>
      <c r="AA1005" s="96">
        <f t="shared" si="584"/>
        <v>58</v>
      </c>
      <c r="AB1005" s="97">
        <f t="shared" si="585"/>
        <v>0</v>
      </c>
      <c r="AC1005" s="97">
        <f t="shared" si="586"/>
        <v>3945.55</v>
      </c>
      <c r="AD1005" s="98">
        <v>3945.55</v>
      </c>
      <c r="AE1005" s="98">
        <v>4049.4</v>
      </c>
      <c r="AF1005" s="98">
        <v>4050.6</v>
      </c>
      <c r="AG1005" s="98">
        <f t="shared" si="587"/>
        <v>105.04999999999973</v>
      </c>
      <c r="AH1005" s="99">
        <v>672.5</v>
      </c>
      <c r="AI1005" s="100">
        <f t="shared" si="588"/>
        <v>2724028.5</v>
      </c>
      <c r="AJ1005" s="100">
        <f>(0.2*AH1005)*2</f>
        <v>269</v>
      </c>
      <c r="AK1005" s="100">
        <v>0</v>
      </c>
      <c r="AL1005" s="100">
        <v>0</v>
      </c>
      <c r="AM1005" s="100">
        <v>0</v>
      </c>
      <c r="AN1005" s="100">
        <v>0</v>
      </c>
      <c r="AO1005" s="100">
        <v>0</v>
      </c>
      <c r="AP1005" s="100">
        <f t="shared" si="583"/>
        <v>136215</v>
      </c>
      <c r="AQ1005" s="101">
        <f t="shared" si="591"/>
        <v>2860513</v>
      </c>
      <c r="AR1005" s="101">
        <v>0</v>
      </c>
      <c r="AS1005" s="101">
        <v>0</v>
      </c>
      <c r="AT1005" s="102" t="s">
        <v>33</v>
      </c>
      <c r="AU1005" s="109" t="s">
        <v>118</v>
      </c>
      <c r="AV1005" s="100">
        <v>0</v>
      </c>
      <c r="AW1005" s="105">
        <v>0</v>
      </c>
      <c r="AX1005" s="216">
        <f t="shared" si="594"/>
        <v>2.5934429467239353</v>
      </c>
      <c r="AY1005" s="217">
        <f t="shared" si="595"/>
        <v>70647</v>
      </c>
      <c r="AZ1005" s="107"/>
      <c r="BA1005" s="94">
        <v>45672.232638888891</v>
      </c>
      <c r="BB1005" s="94">
        <v>45672.236111111109</v>
      </c>
      <c r="BC1005" s="94">
        <v>45672.236111111109</v>
      </c>
      <c r="BD1005" s="94">
        <v>45672.357638888891</v>
      </c>
      <c r="BE1005" s="95">
        <f t="shared" si="596"/>
        <v>0.125</v>
      </c>
      <c r="BF1005" s="95">
        <v>0</v>
      </c>
      <c r="BG1005" s="95">
        <v>0</v>
      </c>
      <c r="BH1005" s="95">
        <f t="shared" si="597"/>
        <v>3.4722222189884633E-3</v>
      </c>
      <c r="BI1005" s="95">
        <f t="shared" si="597"/>
        <v>0</v>
      </c>
      <c r="BJ1005" s="95">
        <f t="shared" si="597"/>
        <v>0.12152777778101154</v>
      </c>
      <c r="BK1005" s="95">
        <f t="shared" si="598"/>
        <v>0.12152777778101154</v>
      </c>
      <c r="BL1005" s="95">
        <f t="shared" si="599"/>
        <v>0.12152777778101154</v>
      </c>
      <c r="BM1005" s="95" t="str">
        <f t="shared" si="600"/>
        <v>00:00</v>
      </c>
      <c r="BN1005" s="110"/>
    </row>
    <row r="1006" spans="1:66" s="8" customFormat="1" ht="12.75" customHeight="1" x14ac:dyDescent="0.25">
      <c r="A1006" s="150">
        <v>926</v>
      </c>
      <c r="B1006" s="150">
        <v>52</v>
      </c>
      <c r="C1006" s="90">
        <v>20</v>
      </c>
      <c r="D1006" s="111" t="s">
        <v>113</v>
      </c>
      <c r="E1006" s="210" t="s">
        <v>991</v>
      </c>
      <c r="F1006" s="150" t="s">
        <v>27</v>
      </c>
      <c r="G1006" s="150" t="s">
        <v>12</v>
      </c>
      <c r="H1006" s="150" t="s">
        <v>115</v>
      </c>
      <c r="I1006" s="150" t="s">
        <v>1062</v>
      </c>
      <c r="J1006" s="151">
        <v>45672</v>
      </c>
      <c r="K1006" s="135" t="s">
        <v>117</v>
      </c>
      <c r="L1006" s="135">
        <v>282001109</v>
      </c>
      <c r="M1006" s="151">
        <v>45673</v>
      </c>
      <c r="N1006" s="152">
        <v>45672.59375</v>
      </c>
      <c r="O1006" s="152">
        <v>45672.59375</v>
      </c>
      <c r="P1006" s="152">
        <v>45672.604166666664</v>
      </c>
      <c r="Q1006" s="152">
        <v>45672.791666666664</v>
      </c>
      <c r="R1006" s="152" t="s">
        <v>118</v>
      </c>
      <c r="S1006" s="152" t="s">
        <v>118</v>
      </c>
      <c r="T1006" s="152">
        <v>45672.854166666664</v>
      </c>
      <c r="U1006" s="152">
        <v>45672.953472222223</v>
      </c>
      <c r="V1006" s="219">
        <f t="shared" si="592"/>
        <v>0.19791666666424135</v>
      </c>
      <c r="W1006" s="203">
        <v>0.20833333333333334</v>
      </c>
      <c r="X1006" s="219" t="str">
        <f t="shared" si="593"/>
        <v>00:00</v>
      </c>
      <c r="Y1006" s="96">
        <v>2</v>
      </c>
      <c r="Z1006" s="96">
        <v>56</v>
      </c>
      <c r="AA1006" s="96">
        <f t="shared" si="584"/>
        <v>58</v>
      </c>
      <c r="AB1006" s="97">
        <f t="shared" si="585"/>
        <v>134.45862068965519</v>
      </c>
      <c r="AC1006" s="97">
        <f t="shared" si="586"/>
        <v>3764.8413793103455</v>
      </c>
      <c r="AD1006" s="98">
        <v>3899.3</v>
      </c>
      <c r="AE1006" s="98">
        <v>4026.5</v>
      </c>
      <c r="AF1006" s="98">
        <v>4026.6</v>
      </c>
      <c r="AG1006" s="98">
        <f t="shared" si="587"/>
        <v>127.29999999999973</v>
      </c>
      <c r="AH1006" s="99">
        <v>1586.7</v>
      </c>
      <c r="AI1006" s="100">
        <f t="shared" si="588"/>
        <v>6389006.2199999997</v>
      </c>
      <c r="AJ1006" s="100">
        <f>(0*AH1006)*2</f>
        <v>0</v>
      </c>
      <c r="AK1006" s="100">
        <v>0</v>
      </c>
      <c r="AL1006" s="100">
        <v>0</v>
      </c>
      <c r="AM1006" s="100">
        <v>0</v>
      </c>
      <c r="AN1006" s="100">
        <v>0</v>
      </c>
      <c r="AO1006" s="100">
        <f>IFERROR(AF1006*20+(((AJ1006/AH1006)/2)*20),0)</f>
        <v>80532</v>
      </c>
      <c r="AP1006" s="100">
        <f t="shared" si="583"/>
        <v>323477</v>
      </c>
      <c r="AQ1006" s="101">
        <f t="shared" si="591"/>
        <v>6793016</v>
      </c>
      <c r="AR1006" s="101">
        <v>0</v>
      </c>
      <c r="AS1006" s="101">
        <v>0</v>
      </c>
      <c r="AT1006" s="102" t="s">
        <v>33</v>
      </c>
      <c r="AU1006" s="109" t="s">
        <v>118</v>
      </c>
      <c r="AV1006" s="100">
        <v>0</v>
      </c>
      <c r="AW1006" s="105">
        <v>0</v>
      </c>
      <c r="AX1006" s="216">
        <f t="shared" si="594"/>
        <v>3.1614761833805129</v>
      </c>
      <c r="AY1006" s="217">
        <f t="shared" si="595"/>
        <v>201987</v>
      </c>
      <c r="AZ1006" s="107"/>
      <c r="BA1006" s="94">
        <v>45672.59375</v>
      </c>
      <c r="BB1006" s="94">
        <v>45672.604166666664</v>
      </c>
      <c r="BC1006" s="94">
        <v>45672.611111111109</v>
      </c>
      <c r="BD1006" s="94">
        <v>45672.740277777775</v>
      </c>
      <c r="BE1006" s="95">
        <f t="shared" si="596"/>
        <v>0.14652777777519077</v>
      </c>
      <c r="BF1006" s="95">
        <v>0</v>
      </c>
      <c r="BG1006" s="95">
        <v>8.3333333333333332E-3</v>
      </c>
      <c r="BH1006" s="95">
        <f t="shared" si="597"/>
        <v>1.0416666664241347E-2</v>
      </c>
      <c r="BI1006" s="95">
        <f t="shared" si="597"/>
        <v>6.9444444452528842E-3</v>
      </c>
      <c r="BJ1006" s="95">
        <f t="shared" si="597"/>
        <v>0.12916666666569654</v>
      </c>
      <c r="BK1006" s="95">
        <f t="shared" si="598"/>
        <v>0.13611111111094942</v>
      </c>
      <c r="BL1006" s="95">
        <f t="shared" si="599"/>
        <v>0.12777777777761609</v>
      </c>
      <c r="BM1006" s="95" t="str">
        <f t="shared" si="600"/>
        <v>00:00</v>
      </c>
      <c r="BN1006" s="110"/>
    </row>
    <row r="1007" spans="1:66" s="8" customFormat="1" ht="12.75" customHeight="1" x14ac:dyDescent="0.25">
      <c r="A1007" s="150">
        <v>927</v>
      </c>
      <c r="B1007" s="150">
        <v>53</v>
      </c>
      <c r="C1007" s="90">
        <v>15</v>
      </c>
      <c r="D1007" s="111" t="s">
        <v>148</v>
      </c>
      <c r="E1007" s="210" t="s">
        <v>1051</v>
      </c>
      <c r="F1007" s="150" t="s">
        <v>19</v>
      </c>
      <c r="G1007" s="150" t="s">
        <v>17</v>
      </c>
      <c r="H1007" s="150" t="s">
        <v>150</v>
      </c>
      <c r="I1007" s="150" t="s">
        <v>557</v>
      </c>
      <c r="J1007" s="151">
        <v>45671</v>
      </c>
      <c r="K1007" s="135" t="s">
        <v>122</v>
      </c>
      <c r="L1007" s="135">
        <v>461000674</v>
      </c>
      <c r="M1007" s="151">
        <v>45673</v>
      </c>
      <c r="N1007" s="152">
        <v>45672.708333333336</v>
      </c>
      <c r="O1007" s="152">
        <v>45672.708333333336</v>
      </c>
      <c r="P1007" s="152">
        <v>45672.711805555555</v>
      </c>
      <c r="Q1007" s="152">
        <v>45672.90625</v>
      </c>
      <c r="R1007" s="152" t="s">
        <v>118</v>
      </c>
      <c r="S1007" s="152" t="s">
        <v>118</v>
      </c>
      <c r="T1007" s="152">
        <v>45673.020833333336</v>
      </c>
      <c r="U1007" s="152">
        <v>45673.131944444445</v>
      </c>
      <c r="V1007" s="219">
        <f t="shared" si="592"/>
        <v>0.19791666666424135</v>
      </c>
      <c r="W1007" s="203">
        <v>0.20833333333333334</v>
      </c>
      <c r="X1007" s="219" t="str">
        <f t="shared" si="593"/>
        <v>00:00</v>
      </c>
      <c r="Y1007" s="96">
        <v>0</v>
      </c>
      <c r="Z1007" s="96">
        <v>56</v>
      </c>
      <c r="AA1007" s="96">
        <f t="shared" si="584"/>
        <v>56</v>
      </c>
      <c r="AB1007" s="97">
        <f t="shared" si="585"/>
        <v>0</v>
      </c>
      <c r="AC1007" s="97">
        <f t="shared" si="586"/>
        <v>3857.4200000000005</v>
      </c>
      <c r="AD1007" s="98">
        <v>3857.42</v>
      </c>
      <c r="AE1007" s="98">
        <v>3899.7</v>
      </c>
      <c r="AF1007" s="98">
        <v>3907.4</v>
      </c>
      <c r="AG1007" s="98">
        <f t="shared" si="587"/>
        <v>49.980000000000018</v>
      </c>
      <c r="AH1007" s="99">
        <v>672.5</v>
      </c>
      <c r="AI1007" s="100">
        <f t="shared" si="588"/>
        <v>2627726.5</v>
      </c>
      <c r="AJ1007" s="100">
        <f>(0*AH1007)*2</f>
        <v>0</v>
      </c>
      <c r="AK1007" s="100">
        <v>0</v>
      </c>
      <c r="AL1007" s="100">
        <v>23840</v>
      </c>
      <c r="AM1007" s="100">
        <v>0</v>
      </c>
      <c r="AN1007" s="100">
        <v>0</v>
      </c>
      <c r="AO1007" s="100">
        <v>0</v>
      </c>
      <c r="AP1007" s="100">
        <f t="shared" si="583"/>
        <v>132579</v>
      </c>
      <c r="AQ1007" s="101">
        <f t="shared" si="591"/>
        <v>2784146</v>
      </c>
      <c r="AR1007" s="101">
        <v>0</v>
      </c>
      <c r="AS1007" s="101">
        <v>0</v>
      </c>
      <c r="AT1007" s="102" t="s">
        <v>33</v>
      </c>
      <c r="AU1007" s="109">
        <v>5</v>
      </c>
      <c r="AV1007" s="100">
        <f>9.74-6.74</f>
        <v>3</v>
      </c>
      <c r="AW1007" s="105">
        <v>0</v>
      </c>
      <c r="AX1007" s="216">
        <f t="shared" si="594"/>
        <v>1.2791114295951276</v>
      </c>
      <c r="AY1007" s="217">
        <f t="shared" si="595"/>
        <v>33612</v>
      </c>
      <c r="AZ1007" s="107"/>
      <c r="BA1007" s="94">
        <v>45672.708333333336</v>
      </c>
      <c r="BB1007" s="94">
        <v>45672.711805555555</v>
      </c>
      <c r="BC1007" s="94">
        <v>45672.75</v>
      </c>
      <c r="BD1007" s="94">
        <v>45672.879166666666</v>
      </c>
      <c r="BE1007" s="95">
        <f t="shared" si="596"/>
        <v>0.17083333332993789</v>
      </c>
      <c r="BF1007" s="95">
        <v>0</v>
      </c>
      <c r="BG1007" s="95">
        <v>5.347222222222222E-2</v>
      </c>
      <c r="BH1007" s="95">
        <f t="shared" si="597"/>
        <v>3.4722222189884633E-3</v>
      </c>
      <c r="BI1007" s="95">
        <f t="shared" si="597"/>
        <v>3.8194444445252884E-2</v>
      </c>
      <c r="BJ1007" s="95">
        <f t="shared" si="597"/>
        <v>0.12916666666569654</v>
      </c>
      <c r="BK1007" s="95">
        <f t="shared" si="598"/>
        <v>0.16736111111094942</v>
      </c>
      <c r="BL1007" s="95">
        <f t="shared" si="599"/>
        <v>0.1138888888887272</v>
      </c>
      <c r="BM1007" s="95" t="str">
        <f t="shared" si="600"/>
        <v>00:00</v>
      </c>
      <c r="BN1007" s="110"/>
    </row>
    <row r="1008" spans="1:66" s="8" customFormat="1" ht="12.75" customHeight="1" x14ac:dyDescent="0.25">
      <c r="A1008" s="150">
        <v>928</v>
      </c>
      <c r="B1008" s="150">
        <v>54</v>
      </c>
      <c r="C1008" s="90">
        <v>16</v>
      </c>
      <c r="D1008" s="111" t="s">
        <v>148</v>
      </c>
      <c r="E1008" s="210" t="s">
        <v>1051</v>
      </c>
      <c r="F1008" s="150" t="s">
        <v>19</v>
      </c>
      <c r="G1008" s="150" t="s">
        <v>17</v>
      </c>
      <c r="H1008" s="150" t="s">
        <v>150</v>
      </c>
      <c r="I1008" s="150" t="s">
        <v>561</v>
      </c>
      <c r="J1008" s="151">
        <v>45671</v>
      </c>
      <c r="K1008" s="135" t="s">
        <v>117</v>
      </c>
      <c r="L1008" s="135">
        <v>461000675</v>
      </c>
      <c r="M1008" s="151">
        <v>45673</v>
      </c>
      <c r="N1008" s="152">
        <v>45673.041666666664</v>
      </c>
      <c r="O1008" s="152">
        <v>45673.041666666664</v>
      </c>
      <c r="P1008" s="152">
        <v>45673.0625</v>
      </c>
      <c r="Q1008" s="152">
        <v>45673.208333333336</v>
      </c>
      <c r="R1008" s="152" t="s">
        <v>118</v>
      </c>
      <c r="S1008" s="152" t="s">
        <v>118</v>
      </c>
      <c r="T1008" s="152">
        <v>45673.291666666664</v>
      </c>
      <c r="U1008" s="152">
        <v>45673.388888888891</v>
      </c>
      <c r="V1008" s="219">
        <f t="shared" si="592"/>
        <v>0.16666666667151731</v>
      </c>
      <c r="W1008" s="203">
        <v>0.20833333333333334</v>
      </c>
      <c r="X1008" s="219" t="str">
        <f t="shared" si="593"/>
        <v>00:00</v>
      </c>
      <c r="Y1008" s="96">
        <v>0</v>
      </c>
      <c r="Z1008" s="96">
        <v>58</v>
      </c>
      <c r="AA1008" s="96">
        <f t="shared" si="584"/>
        <v>58</v>
      </c>
      <c r="AB1008" s="97">
        <f t="shared" si="585"/>
        <v>0</v>
      </c>
      <c r="AC1008" s="97">
        <f t="shared" si="586"/>
        <v>4087.57</v>
      </c>
      <c r="AD1008" s="98">
        <v>4087.57</v>
      </c>
      <c r="AE1008" s="98">
        <v>4058</v>
      </c>
      <c r="AF1008" s="98">
        <v>4099.2</v>
      </c>
      <c r="AG1008" s="98">
        <f t="shared" si="587"/>
        <v>11.629999999999654</v>
      </c>
      <c r="AH1008" s="99">
        <v>672.5</v>
      </c>
      <c r="AI1008" s="100">
        <f t="shared" si="588"/>
        <v>2756712</v>
      </c>
      <c r="AJ1008" s="100">
        <f>(0*AH1008)*2</f>
        <v>0</v>
      </c>
      <c r="AK1008" s="100">
        <v>0</v>
      </c>
      <c r="AL1008" s="100">
        <v>24140</v>
      </c>
      <c r="AM1008" s="100">
        <v>0</v>
      </c>
      <c r="AN1008" s="100">
        <v>0</v>
      </c>
      <c r="AO1008" s="100">
        <v>0</v>
      </c>
      <c r="AP1008" s="100">
        <f t="shared" si="583"/>
        <v>139043</v>
      </c>
      <c r="AQ1008" s="101">
        <f t="shared" si="591"/>
        <v>2919895</v>
      </c>
      <c r="AR1008" s="101">
        <v>0</v>
      </c>
      <c r="AS1008" s="101">
        <v>0</v>
      </c>
      <c r="AT1008" s="102" t="s">
        <v>33</v>
      </c>
      <c r="AU1008" s="109">
        <v>24</v>
      </c>
      <c r="AV1008" s="100">
        <f>51.67-35.17</f>
        <v>16.5</v>
      </c>
      <c r="AW1008" s="105">
        <v>0</v>
      </c>
      <c r="AX1008" s="216">
        <f t="shared" si="594"/>
        <v>0.28371389539421482</v>
      </c>
      <c r="AY1008" s="217">
        <f t="shared" si="595"/>
        <v>7822</v>
      </c>
      <c r="AZ1008" s="107"/>
      <c r="BA1008" s="94">
        <v>45673.041666666664</v>
      </c>
      <c r="BB1008" s="94">
        <v>45673.0625</v>
      </c>
      <c r="BC1008" s="94">
        <v>45673.0625</v>
      </c>
      <c r="BD1008" s="94">
        <v>45673.177083333336</v>
      </c>
      <c r="BE1008" s="95">
        <f t="shared" si="596"/>
        <v>0.13541666667151731</v>
      </c>
      <c r="BF1008" s="95">
        <v>0</v>
      </c>
      <c r="BG1008" s="95">
        <v>1.3888888888888889E-3</v>
      </c>
      <c r="BH1008" s="95">
        <f t="shared" si="597"/>
        <v>2.0833333335758653E-2</v>
      </c>
      <c r="BI1008" s="95">
        <f t="shared" si="597"/>
        <v>0</v>
      </c>
      <c r="BJ1008" s="95">
        <f t="shared" si="597"/>
        <v>0.11458333333575865</v>
      </c>
      <c r="BK1008" s="95">
        <f t="shared" si="598"/>
        <v>0.11458333333575865</v>
      </c>
      <c r="BL1008" s="95">
        <f t="shared" si="599"/>
        <v>0.11319444444686977</v>
      </c>
      <c r="BM1008" s="95" t="str">
        <f t="shared" si="600"/>
        <v>00:00</v>
      </c>
      <c r="BN1008" s="110"/>
    </row>
    <row r="1009" spans="1:66" s="8" customFormat="1" ht="12.75" customHeight="1" x14ac:dyDescent="0.25">
      <c r="A1009" s="150">
        <v>929</v>
      </c>
      <c r="B1009" s="150">
        <v>55</v>
      </c>
      <c r="C1009" s="90">
        <v>17</v>
      </c>
      <c r="D1009" s="111" t="s">
        <v>148</v>
      </c>
      <c r="E1009" s="210" t="s">
        <v>1051</v>
      </c>
      <c r="F1009" s="150" t="s">
        <v>19</v>
      </c>
      <c r="G1009" s="150" t="s">
        <v>17</v>
      </c>
      <c r="H1009" s="150" t="s">
        <v>150</v>
      </c>
      <c r="I1009" s="150" t="s">
        <v>562</v>
      </c>
      <c r="J1009" s="151">
        <v>45671</v>
      </c>
      <c r="K1009" s="135" t="s">
        <v>122</v>
      </c>
      <c r="L1009" s="135">
        <v>461000676</v>
      </c>
      <c r="M1009" s="151">
        <v>45673</v>
      </c>
      <c r="N1009" s="152">
        <v>45673.208333333336</v>
      </c>
      <c r="O1009" s="152">
        <v>45673.208333333336</v>
      </c>
      <c r="P1009" s="152">
        <v>45673.215277777781</v>
      </c>
      <c r="Q1009" s="152">
        <v>45673.395833333336</v>
      </c>
      <c r="R1009" s="152" t="s">
        <v>118</v>
      </c>
      <c r="S1009" s="152" t="s">
        <v>118</v>
      </c>
      <c r="T1009" s="152">
        <v>45673.444444444445</v>
      </c>
      <c r="U1009" s="152">
        <v>45673.504861111112</v>
      </c>
      <c r="V1009" s="219">
        <f t="shared" si="592"/>
        <v>0.1875</v>
      </c>
      <c r="W1009" s="203">
        <v>0.20833333333333334</v>
      </c>
      <c r="X1009" s="219" t="str">
        <f t="shared" si="593"/>
        <v>00:00</v>
      </c>
      <c r="Y1009" s="96">
        <v>0</v>
      </c>
      <c r="Z1009" s="96">
        <v>58</v>
      </c>
      <c r="AA1009" s="96">
        <f t="shared" si="584"/>
        <v>58</v>
      </c>
      <c r="AB1009" s="97">
        <f t="shared" si="585"/>
        <v>0</v>
      </c>
      <c r="AC1009" s="97">
        <f t="shared" si="586"/>
        <v>3974.8</v>
      </c>
      <c r="AD1009" s="98">
        <v>3974.8</v>
      </c>
      <c r="AE1009" s="98">
        <v>4037.5</v>
      </c>
      <c r="AF1009" s="98">
        <v>4041.4</v>
      </c>
      <c r="AG1009" s="98">
        <f t="shared" si="587"/>
        <v>66.599999999999909</v>
      </c>
      <c r="AH1009" s="99">
        <v>672.5</v>
      </c>
      <c r="AI1009" s="100">
        <f t="shared" si="588"/>
        <v>2717841.5</v>
      </c>
      <c r="AJ1009" s="100">
        <f>(1.2*AH1009)*2</f>
        <v>1614</v>
      </c>
      <c r="AK1009" s="100">
        <v>0</v>
      </c>
      <c r="AL1009" s="100">
        <v>0</v>
      </c>
      <c r="AM1009" s="100">
        <v>0</v>
      </c>
      <c r="AN1009" s="100">
        <v>0</v>
      </c>
      <c r="AO1009" s="100">
        <v>0</v>
      </c>
      <c r="AP1009" s="100">
        <f t="shared" si="583"/>
        <v>135973</v>
      </c>
      <c r="AQ1009" s="101">
        <f t="shared" si="591"/>
        <v>2855429</v>
      </c>
      <c r="AR1009" s="101">
        <v>0</v>
      </c>
      <c r="AS1009" s="101">
        <v>0</v>
      </c>
      <c r="AT1009" s="102" t="s">
        <v>33</v>
      </c>
      <c r="AU1009" s="109" t="s">
        <v>118</v>
      </c>
      <c r="AV1009" s="100">
        <v>0</v>
      </c>
      <c r="AW1009" s="105">
        <v>0</v>
      </c>
      <c r="AX1009" s="216">
        <f t="shared" si="594"/>
        <v>1.6479437818577698</v>
      </c>
      <c r="AY1009" s="217">
        <f t="shared" si="595"/>
        <v>44789</v>
      </c>
      <c r="AZ1009" s="107"/>
      <c r="BA1009" s="94">
        <v>45673.208333333336</v>
      </c>
      <c r="BB1009" s="94">
        <v>45673.215277777781</v>
      </c>
      <c r="BC1009" s="94">
        <v>45673.215277777781</v>
      </c>
      <c r="BD1009" s="94">
        <v>45673.340277777781</v>
      </c>
      <c r="BE1009" s="95">
        <f t="shared" si="596"/>
        <v>0.13194444444525288</v>
      </c>
      <c r="BF1009" s="95">
        <v>0</v>
      </c>
      <c r="BG1009" s="95">
        <v>0</v>
      </c>
      <c r="BH1009" s="95">
        <f t="shared" si="597"/>
        <v>6.9444444452528842E-3</v>
      </c>
      <c r="BI1009" s="95">
        <f t="shared" si="597"/>
        <v>0</v>
      </c>
      <c r="BJ1009" s="95">
        <f t="shared" si="597"/>
        <v>0.125</v>
      </c>
      <c r="BK1009" s="95">
        <f t="shared" si="598"/>
        <v>0.125</v>
      </c>
      <c r="BL1009" s="95">
        <f t="shared" si="599"/>
        <v>0.125</v>
      </c>
      <c r="BM1009" s="95" t="str">
        <f t="shared" si="600"/>
        <v>00:00</v>
      </c>
      <c r="BN1009" s="110"/>
    </row>
    <row r="1010" spans="1:66" s="8" customFormat="1" ht="12.75" customHeight="1" x14ac:dyDescent="0.25">
      <c r="A1010" s="150">
        <v>930</v>
      </c>
      <c r="B1010" s="150">
        <v>56</v>
      </c>
      <c r="C1010" s="90">
        <v>7</v>
      </c>
      <c r="D1010" s="111" t="s">
        <v>113</v>
      </c>
      <c r="E1010" s="210" t="s">
        <v>1024</v>
      </c>
      <c r="F1010" s="150" t="s">
        <v>32</v>
      </c>
      <c r="G1010" s="150" t="s">
        <v>15</v>
      </c>
      <c r="H1010" s="150" t="s">
        <v>135</v>
      </c>
      <c r="I1010" s="150" t="s">
        <v>1063</v>
      </c>
      <c r="J1010" s="151">
        <v>45673</v>
      </c>
      <c r="K1010" s="135" t="s">
        <v>117</v>
      </c>
      <c r="L1010" s="135">
        <v>261006184</v>
      </c>
      <c r="M1010" s="151">
        <v>45673</v>
      </c>
      <c r="N1010" s="152">
        <v>45673.572916666664</v>
      </c>
      <c r="O1010" s="152">
        <v>45673.572916666664</v>
      </c>
      <c r="P1010" s="152">
        <v>45673.576388888891</v>
      </c>
      <c r="Q1010" s="152">
        <v>45673.75</v>
      </c>
      <c r="R1010" s="152" t="s">
        <v>118</v>
      </c>
      <c r="S1010" s="152" t="s">
        <v>118</v>
      </c>
      <c r="T1010" s="152">
        <v>45673.791666666664</v>
      </c>
      <c r="U1010" s="152">
        <v>45673.834027777775</v>
      </c>
      <c r="V1010" s="219">
        <f t="shared" si="592"/>
        <v>0.17708333333575865</v>
      </c>
      <c r="W1010" s="203">
        <v>0.20833333333333334</v>
      </c>
      <c r="X1010" s="219" t="str">
        <f t="shared" si="593"/>
        <v>00:00</v>
      </c>
      <c r="Y1010" s="96">
        <v>0</v>
      </c>
      <c r="Z1010" s="96">
        <v>58</v>
      </c>
      <c r="AA1010" s="96">
        <f t="shared" si="584"/>
        <v>58</v>
      </c>
      <c r="AB1010" s="97">
        <f t="shared" si="585"/>
        <v>0</v>
      </c>
      <c r="AC1010" s="97">
        <f t="shared" si="586"/>
        <v>3946.56</v>
      </c>
      <c r="AD1010" s="98">
        <v>3946.56</v>
      </c>
      <c r="AE1010" s="98">
        <v>4038.6</v>
      </c>
      <c r="AF1010" s="98">
        <v>4040.6</v>
      </c>
      <c r="AG1010" s="98">
        <f t="shared" si="587"/>
        <v>94.039999999999964</v>
      </c>
      <c r="AH1010" s="99">
        <v>797.2</v>
      </c>
      <c r="AI1010" s="100">
        <f t="shared" si="588"/>
        <v>3221166.3200000003</v>
      </c>
      <c r="AJ1010" s="100">
        <f>(0.4*AH1010)*2</f>
        <v>637.7600000000001</v>
      </c>
      <c r="AK1010" s="100">
        <v>0</v>
      </c>
      <c r="AL1010" s="100">
        <v>0</v>
      </c>
      <c r="AM1010" s="100">
        <v>0</v>
      </c>
      <c r="AN1010" s="100">
        <v>0</v>
      </c>
      <c r="AO1010" s="100">
        <v>0</v>
      </c>
      <c r="AP1010" s="100">
        <f t="shared" si="583"/>
        <v>161091</v>
      </c>
      <c r="AQ1010" s="101">
        <f t="shared" si="591"/>
        <v>3382896</v>
      </c>
      <c r="AR1010" s="101">
        <v>0</v>
      </c>
      <c r="AS1010" s="101">
        <v>0</v>
      </c>
      <c r="AT1010" s="102" t="s">
        <v>33</v>
      </c>
      <c r="AU1010" s="109" t="s">
        <v>118</v>
      </c>
      <c r="AV1010" s="100">
        <v>0</v>
      </c>
      <c r="AW1010" s="105">
        <v>0</v>
      </c>
      <c r="AX1010" s="216">
        <f t="shared" si="594"/>
        <v>2.327377122209572</v>
      </c>
      <c r="AY1010" s="217">
        <f t="shared" si="595"/>
        <v>74969</v>
      </c>
      <c r="AZ1010" s="107"/>
      <c r="BA1010" s="94">
        <v>45673.572916666664</v>
      </c>
      <c r="BB1010" s="94">
        <v>45673.576388888891</v>
      </c>
      <c r="BC1010" s="94">
        <v>45673.576388888891</v>
      </c>
      <c r="BD1010" s="94">
        <v>45673.708333333336</v>
      </c>
      <c r="BE1010" s="95">
        <f t="shared" si="596"/>
        <v>0.13541666667151731</v>
      </c>
      <c r="BF1010" s="95">
        <v>0</v>
      </c>
      <c r="BG1010" s="95">
        <v>3.3333333333333333E-2</v>
      </c>
      <c r="BH1010" s="95">
        <f t="shared" si="597"/>
        <v>3.4722222262644209E-3</v>
      </c>
      <c r="BI1010" s="95">
        <f t="shared" si="597"/>
        <v>0</v>
      </c>
      <c r="BJ1010" s="95">
        <f t="shared" si="597"/>
        <v>0.13194444444525288</v>
      </c>
      <c r="BK1010" s="95">
        <f t="shared" si="598"/>
        <v>0.13194444444525288</v>
      </c>
      <c r="BL1010" s="95">
        <f t="shared" si="599"/>
        <v>9.8611111111919558E-2</v>
      </c>
      <c r="BM1010" s="95" t="str">
        <f t="shared" si="600"/>
        <v>00:00</v>
      </c>
      <c r="BN1010" s="110"/>
    </row>
    <row r="1011" spans="1:66" s="8" customFormat="1" ht="12.75" customHeight="1" x14ac:dyDescent="0.25">
      <c r="A1011" s="150">
        <v>931</v>
      </c>
      <c r="B1011" s="150">
        <v>57</v>
      </c>
      <c r="C1011" s="90">
        <v>18</v>
      </c>
      <c r="D1011" s="111" t="s">
        <v>148</v>
      </c>
      <c r="E1011" s="210" t="s">
        <v>1051</v>
      </c>
      <c r="F1011" s="150" t="s">
        <v>19</v>
      </c>
      <c r="G1011" s="150" t="s">
        <v>17</v>
      </c>
      <c r="H1011" s="150" t="s">
        <v>150</v>
      </c>
      <c r="I1011" s="150" t="s">
        <v>563</v>
      </c>
      <c r="J1011" s="151">
        <v>45671</v>
      </c>
      <c r="K1011" s="135" t="s">
        <v>122</v>
      </c>
      <c r="L1011" s="135">
        <v>461000677</v>
      </c>
      <c r="M1011" s="151">
        <v>45674</v>
      </c>
      <c r="N1011" s="152">
        <v>45674.25</v>
      </c>
      <c r="O1011" s="152">
        <v>45674.25</v>
      </c>
      <c r="P1011" s="152">
        <v>45674.253472222219</v>
      </c>
      <c r="Q1011" s="152">
        <v>45674.427083333336</v>
      </c>
      <c r="R1011" s="152" t="s">
        <v>118</v>
      </c>
      <c r="S1011" s="152" t="s">
        <v>118</v>
      </c>
      <c r="T1011" s="152">
        <v>45674.458333333336</v>
      </c>
      <c r="U1011" s="152">
        <v>45674.576388888891</v>
      </c>
      <c r="V1011" s="219">
        <f t="shared" si="592"/>
        <v>0.17708333333575865</v>
      </c>
      <c r="W1011" s="203">
        <v>0.20833333333333334</v>
      </c>
      <c r="X1011" s="219" t="str">
        <f t="shared" si="593"/>
        <v>00:00</v>
      </c>
      <c r="Y1011" s="96">
        <v>2</v>
      </c>
      <c r="Z1011" s="96">
        <v>56</v>
      </c>
      <c r="AA1011" s="96">
        <f t="shared" si="584"/>
        <v>58</v>
      </c>
      <c r="AB1011" s="97">
        <f t="shared" si="585"/>
        <v>138.36724137931034</v>
      </c>
      <c r="AC1011" s="97">
        <f t="shared" si="586"/>
        <v>3874.2827586206895</v>
      </c>
      <c r="AD1011" s="98">
        <v>4012.65</v>
      </c>
      <c r="AE1011" s="98">
        <v>4035.7</v>
      </c>
      <c r="AF1011" s="98">
        <v>4049</v>
      </c>
      <c r="AG1011" s="98">
        <f t="shared" si="587"/>
        <v>36.349999999999909</v>
      </c>
      <c r="AH1011" s="99">
        <v>672.5</v>
      </c>
      <c r="AI1011" s="100">
        <f t="shared" si="588"/>
        <v>2722952.5</v>
      </c>
      <c r="AJ1011" s="100">
        <f>(0*AH1011)*2</f>
        <v>0</v>
      </c>
      <c r="AK1011" s="100">
        <v>0</v>
      </c>
      <c r="AL1011" s="100">
        <v>24140</v>
      </c>
      <c r="AM1011" s="100">
        <v>0</v>
      </c>
      <c r="AN1011" s="100">
        <v>0</v>
      </c>
      <c r="AO1011" s="100">
        <v>0</v>
      </c>
      <c r="AP1011" s="100">
        <f t="shared" si="583"/>
        <v>137355</v>
      </c>
      <c r="AQ1011" s="101">
        <f t="shared" si="591"/>
        <v>2884448</v>
      </c>
      <c r="AR1011" s="101">
        <v>0</v>
      </c>
      <c r="AS1011" s="101">
        <v>0</v>
      </c>
      <c r="AT1011" s="102" t="s">
        <v>33</v>
      </c>
      <c r="AU1011" s="109">
        <v>6</v>
      </c>
      <c r="AV1011" s="100">
        <f>15.87-12.37</f>
        <v>3.5</v>
      </c>
      <c r="AW1011" s="105">
        <v>0</v>
      </c>
      <c r="AX1011" s="216">
        <f t="shared" si="594"/>
        <v>0.89775253148925449</v>
      </c>
      <c r="AY1011" s="217">
        <f t="shared" si="595"/>
        <v>24446</v>
      </c>
      <c r="AZ1011" s="107"/>
      <c r="BA1011" s="94">
        <v>45674.25</v>
      </c>
      <c r="BB1011" s="94">
        <v>45674.253472222219</v>
      </c>
      <c r="BC1011" s="94">
        <v>45674.288194444445</v>
      </c>
      <c r="BD1011" s="94">
        <v>45674.395833333336</v>
      </c>
      <c r="BE1011" s="95">
        <f t="shared" si="596"/>
        <v>0.14583333333575865</v>
      </c>
      <c r="BF1011" s="95">
        <v>0</v>
      </c>
      <c r="BG1011" s="95">
        <v>3.472222222222222E-3</v>
      </c>
      <c r="BH1011" s="95">
        <f t="shared" si="597"/>
        <v>3.4722222189884633E-3</v>
      </c>
      <c r="BI1011" s="95">
        <f t="shared" si="597"/>
        <v>3.4722222226264421E-2</v>
      </c>
      <c r="BJ1011" s="95">
        <f t="shared" si="597"/>
        <v>0.10763888889050577</v>
      </c>
      <c r="BK1011" s="95">
        <f t="shared" si="598"/>
        <v>0.14236111111677019</v>
      </c>
      <c r="BL1011" s="95">
        <f t="shared" si="599"/>
        <v>0.13888888889454798</v>
      </c>
      <c r="BM1011" s="95" t="str">
        <f t="shared" si="600"/>
        <v>00:00</v>
      </c>
      <c r="BN1011" s="110"/>
    </row>
    <row r="1012" spans="1:66" s="8" customFormat="1" ht="12.75" customHeight="1" x14ac:dyDescent="0.25">
      <c r="A1012" s="115">
        <v>932</v>
      </c>
      <c r="B1012" s="115">
        <v>58</v>
      </c>
      <c r="C1012" s="90">
        <v>21</v>
      </c>
      <c r="D1012" s="115" t="s">
        <v>113</v>
      </c>
      <c r="E1012" s="210" t="s">
        <v>991</v>
      </c>
      <c r="F1012" s="115" t="s">
        <v>27</v>
      </c>
      <c r="G1012" s="115" t="s">
        <v>12</v>
      </c>
      <c r="H1012" s="115" t="s">
        <v>115</v>
      </c>
      <c r="I1012" s="115" t="s">
        <v>1064</v>
      </c>
      <c r="J1012" s="117">
        <v>45674</v>
      </c>
      <c r="K1012" s="116" t="s">
        <v>117</v>
      </c>
      <c r="L1012" s="116">
        <v>282001110</v>
      </c>
      <c r="M1012" s="117">
        <v>45675</v>
      </c>
      <c r="N1012" s="118">
        <v>45674.645833333336</v>
      </c>
      <c r="O1012" s="118">
        <v>45674.645833333336</v>
      </c>
      <c r="P1012" s="118">
        <v>45674.652777777781</v>
      </c>
      <c r="Q1012" s="118">
        <v>45674.833333333336</v>
      </c>
      <c r="R1012" s="118" t="s">
        <v>118</v>
      </c>
      <c r="S1012" s="118" t="s">
        <v>118</v>
      </c>
      <c r="T1012" s="118">
        <v>45674.850694444445</v>
      </c>
      <c r="U1012" s="118">
        <v>45674.977083333331</v>
      </c>
      <c r="V1012" s="119">
        <f t="shared" si="592"/>
        <v>0.1875</v>
      </c>
      <c r="W1012" s="185">
        <v>0.20833333333333334</v>
      </c>
      <c r="X1012" s="119" t="str">
        <f t="shared" si="593"/>
        <v>00:00</v>
      </c>
      <c r="Y1012" s="96">
        <v>5</v>
      </c>
      <c r="Z1012" s="96">
        <v>43</v>
      </c>
      <c r="AA1012" s="96">
        <f t="shared" si="584"/>
        <v>48</v>
      </c>
      <c r="AB1012" s="97">
        <f t="shared" si="585"/>
        <v>336.25312500000001</v>
      </c>
      <c r="AC1012" s="97">
        <f t="shared" si="586"/>
        <v>2891.776875</v>
      </c>
      <c r="AD1012" s="98">
        <f>3976.31-748.28</f>
        <v>3228.0299999999997</v>
      </c>
      <c r="AE1012" s="98">
        <f>4096.3-761.4</f>
        <v>3334.9</v>
      </c>
      <c r="AF1012" s="98">
        <f>4098.4-762.2</f>
        <v>3336.2</v>
      </c>
      <c r="AG1012" s="98">
        <f t="shared" si="587"/>
        <v>108.17000000000007</v>
      </c>
      <c r="AH1012" s="99">
        <v>1586.7</v>
      </c>
      <c r="AI1012" s="100">
        <f t="shared" si="588"/>
        <v>5293548.54</v>
      </c>
      <c r="AJ1012" s="100">
        <f>(0.2*AH1012)*2</f>
        <v>634.68000000000006</v>
      </c>
      <c r="AK1012" s="100">
        <v>0</v>
      </c>
      <c r="AL1012" s="100">
        <v>0</v>
      </c>
      <c r="AM1012" s="100">
        <v>0</v>
      </c>
      <c r="AN1012" s="100">
        <v>0</v>
      </c>
      <c r="AO1012" s="100">
        <f>IFERROR(AF1012*20+(((AJ1012/AH1012)/2)*20),0)</f>
        <v>66728</v>
      </c>
      <c r="AP1012" s="100">
        <f>ROUNDUP(SUM(AI1012:AO1012)*5%,0)-1</f>
        <v>268045</v>
      </c>
      <c r="AQ1012" s="101">
        <f>ROUNDUP(SUM(AI1012:AP1012),0)-1</f>
        <v>5628956</v>
      </c>
      <c r="AR1012" s="101">
        <v>0</v>
      </c>
      <c r="AS1012" s="101"/>
      <c r="AT1012" s="137" t="s">
        <v>33</v>
      </c>
      <c r="AU1012" s="121" t="s">
        <v>118</v>
      </c>
      <c r="AV1012" s="121">
        <v>0</v>
      </c>
      <c r="AW1012" s="105">
        <v>0</v>
      </c>
      <c r="AX1012" s="140">
        <f>IFERROR(((AG1012+AG1013)/(AF1012+AF1013))*100, "")</f>
        <v>2.9789674019129455</v>
      </c>
      <c r="AY1012" s="141">
        <f>ROUNDUP((AG1012+AG1013)*AH1012,0)</f>
        <v>193721</v>
      </c>
      <c r="AZ1012" s="107"/>
      <c r="BA1012" s="118">
        <v>45674.645833333336</v>
      </c>
      <c r="BB1012" s="118">
        <v>45674.652777777781</v>
      </c>
      <c r="BC1012" s="118">
        <v>45674.652777777781</v>
      </c>
      <c r="BD1012" s="118">
        <v>45674.802083333336</v>
      </c>
      <c r="BE1012" s="119">
        <f t="shared" si="596"/>
        <v>0.15625</v>
      </c>
      <c r="BF1012" s="119">
        <v>6.2500000000000003E-3</v>
      </c>
      <c r="BG1012" s="119">
        <v>2.8472222222222222E-2</v>
      </c>
      <c r="BH1012" s="119">
        <f t="shared" si="597"/>
        <v>6.9444444452528842E-3</v>
      </c>
      <c r="BI1012" s="119">
        <f t="shared" si="597"/>
        <v>0</v>
      </c>
      <c r="BJ1012" s="119">
        <f t="shared" si="597"/>
        <v>0.14930555555474712</v>
      </c>
      <c r="BK1012" s="119">
        <f t="shared" si="598"/>
        <v>0.14930555555474712</v>
      </c>
      <c r="BL1012" s="119">
        <f t="shared" si="599"/>
        <v>0.11458333333252489</v>
      </c>
      <c r="BM1012" s="119" t="str">
        <f t="shared" si="600"/>
        <v>00:00</v>
      </c>
      <c r="BN1012" s="110" t="s">
        <v>1065</v>
      </c>
    </row>
    <row r="1013" spans="1:66" s="8" customFormat="1" ht="12.75" customHeight="1" x14ac:dyDescent="0.25">
      <c r="A1013" s="122"/>
      <c r="B1013" s="122"/>
      <c r="C1013" s="90">
        <v>1</v>
      </c>
      <c r="D1013" s="122"/>
      <c r="E1013" s="210" t="s">
        <v>1066</v>
      </c>
      <c r="F1013" s="122"/>
      <c r="G1013" s="122"/>
      <c r="H1013" s="122"/>
      <c r="I1013" s="122"/>
      <c r="J1013" s="124"/>
      <c r="K1013" s="123"/>
      <c r="L1013" s="123"/>
      <c r="M1013" s="124"/>
      <c r="N1013" s="125"/>
      <c r="O1013" s="125"/>
      <c r="P1013" s="125"/>
      <c r="Q1013" s="125"/>
      <c r="R1013" s="125"/>
      <c r="S1013" s="125"/>
      <c r="T1013" s="125"/>
      <c r="U1013" s="125"/>
      <c r="V1013" s="126"/>
      <c r="W1013" s="189"/>
      <c r="X1013" s="126"/>
      <c r="Y1013" s="96">
        <v>5</v>
      </c>
      <c r="Z1013" s="96">
        <v>6</v>
      </c>
      <c r="AA1013" s="96">
        <f t="shared" si="584"/>
        <v>11</v>
      </c>
      <c r="AB1013" s="97">
        <f t="shared" si="585"/>
        <v>340.12727272727267</v>
      </c>
      <c r="AC1013" s="97">
        <f t="shared" si="586"/>
        <v>408.15272727272725</v>
      </c>
      <c r="AD1013" s="98">
        <v>748.28</v>
      </c>
      <c r="AE1013" s="98">
        <v>761.4</v>
      </c>
      <c r="AF1013" s="98">
        <v>762.2</v>
      </c>
      <c r="AG1013" s="98">
        <f t="shared" si="587"/>
        <v>13.920000000000073</v>
      </c>
      <c r="AH1013" s="99">
        <v>1586.7</v>
      </c>
      <c r="AI1013" s="100">
        <f t="shared" si="588"/>
        <v>1209382.74</v>
      </c>
      <c r="AJ1013" s="100">
        <v>0</v>
      </c>
      <c r="AK1013" s="100">
        <v>0</v>
      </c>
      <c r="AL1013" s="100">
        <v>0</v>
      </c>
      <c r="AM1013" s="100">
        <v>0</v>
      </c>
      <c r="AN1013" s="100">
        <v>0</v>
      </c>
      <c r="AO1013" s="100">
        <f>IFERROR(AF1013*20+(((AJ1013/AH1013)/2)*20),0)</f>
        <v>15244</v>
      </c>
      <c r="AP1013" s="100">
        <f t="shared" ref="AP1013:AP1040" si="601">ROUNDUP(SUM(AI1013:AO1013)*5%,0)</f>
        <v>61232</v>
      </c>
      <c r="AQ1013" s="101">
        <f t="shared" ref="AQ1013:AQ1044" si="602">ROUNDUP(SUM(AI1013:AP1013),0)</f>
        <v>1285859</v>
      </c>
      <c r="AR1013" s="101">
        <v>0</v>
      </c>
      <c r="AS1013" s="101">
        <v>0</v>
      </c>
      <c r="AT1013" s="138"/>
      <c r="AU1013" s="128"/>
      <c r="AV1013" s="128"/>
      <c r="AW1013" s="105">
        <v>0</v>
      </c>
      <c r="AX1013" s="144"/>
      <c r="AY1013" s="145"/>
      <c r="AZ1013" s="107"/>
      <c r="BA1013" s="125"/>
      <c r="BB1013" s="125"/>
      <c r="BC1013" s="125"/>
      <c r="BD1013" s="125"/>
      <c r="BE1013" s="126"/>
      <c r="BF1013" s="126"/>
      <c r="BG1013" s="126"/>
      <c r="BH1013" s="126"/>
      <c r="BI1013" s="126"/>
      <c r="BJ1013" s="126"/>
      <c r="BK1013" s="126"/>
      <c r="BL1013" s="126"/>
      <c r="BM1013" s="126"/>
      <c r="BN1013" s="110" t="s">
        <v>1067</v>
      </c>
    </row>
    <row r="1014" spans="1:66" s="8" customFormat="1" ht="12.75" customHeight="1" x14ac:dyDescent="0.25">
      <c r="A1014" s="115">
        <v>933</v>
      </c>
      <c r="B1014" s="115">
        <v>59</v>
      </c>
      <c r="C1014" s="90">
        <v>20</v>
      </c>
      <c r="D1014" s="115" t="s">
        <v>148</v>
      </c>
      <c r="E1014" s="210" t="s">
        <v>1040</v>
      </c>
      <c r="F1014" s="115" t="s">
        <v>16</v>
      </c>
      <c r="G1014" s="115" t="s">
        <v>17</v>
      </c>
      <c r="H1014" s="115" t="s">
        <v>150</v>
      </c>
      <c r="I1014" s="115" t="s">
        <v>565</v>
      </c>
      <c r="J1014" s="117">
        <v>45673</v>
      </c>
      <c r="K1014" s="116" t="s">
        <v>122</v>
      </c>
      <c r="L1014" s="116">
        <v>461000678</v>
      </c>
      <c r="M1014" s="117">
        <v>45675</v>
      </c>
      <c r="N1014" s="118">
        <v>45674.791666666664</v>
      </c>
      <c r="O1014" s="118">
        <v>45674.791666666664</v>
      </c>
      <c r="P1014" s="118">
        <v>45674.795138888891</v>
      </c>
      <c r="Q1014" s="118">
        <v>45674.96875</v>
      </c>
      <c r="R1014" s="118" t="s">
        <v>118</v>
      </c>
      <c r="S1014" s="118" t="s">
        <v>118</v>
      </c>
      <c r="T1014" s="118">
        <v>45675.020833333336</v>
      </c>
      <c r="U1014" s="118">
        <v>45675.118750000001</v>
      </c>
      <c r="V1014" s="119">
        <f>+Q1014-O1014</f>
        <v>0.17708333333575865</v>
      </c>
      <c r="W1014" s="185">
        <v>0.20833333333333334</v>
      </c>
      <c r="X1014" s="119" t="str">
        <f>IF(VALUE(V1014)&lt;=VALUE("05:00"),"00:00",VALUE(V1014)-VALUE("05:00"))</f>
        <v>00:00</v>
      </c>
      <c r="Y1014" s="96">
        <v>0</v>
      </c>
      <c r="Z1014" s="96">
        <v>20</v>
      </c>
      <c r="AA1014" s="96">
        <f t="shared" si="584"/>
        <v>20</v>
      </c>
      <c r="AB1014" s="97">
        <f t="shared" si="585"/>
        <v>0</v>
      </c>
      <c r="AC1014" s="97">
        <f t="shared" si="586"/>
        <v>1364.1599999999999</v>
      </c>
      <c r="AD1014" s="98">
        <f>4078.25-2714.09</f>
        <v>1364.1599999999999</v>
      </c>
      <c r="AE1014" s="98">
        <f>4113.6-2726.2</f>
        <v>1387.4000000000005</v>
      </c>
      <c r="AF1014" s="98">
        <f>4122.6-2733.2</f>
        <v>1389.4000000000005</v>
      </c>
      <c r="AG1014" s="98">
        <f t="shared" si="587"/>
        <v>25.240000000000691</v>
      </c>
      <c r="AH1014" s="99">
        <v>672.5</v>
      </c>
      <c r="AI1014" s="100">
        <f t="shared" si="588"/>
        <v>934371.50000000035</v>
      </c>
      <c r="AJ1014" s="100">
        <f>(0.4*AH1014)*2</f>
        <v>538</v>
      </c>
      <c r="AK1014" s="100">
        <v>0</v>
      </c>
      <c r="AL1014" s="100">
        <v>0</v>
      </c>
      <c r="AM1014" s="100">
        <v>0</v>
      </c>
      <c r="AN1014" s="100">
        <v>0</v>
      </c>
      <c r="AO1014" s="100">
        <v>0</v>
      </c>
      <c r="AP1014" s="100">
        <f t="shared" si="601"/>
        <v>46746</v>
      </c>
      <c r="AQ1014" s="101">
        <f t="shared" si="602"/>
        <v>981656</v>
      </c>
      <c r="AR1014" s="101">
        <v>0</v>
      </c>
      <c r="AS1014" s="101">
        <v>0</v>
      </c>
      <c r="AT1014" s="137" t="s">
        <v>33</v>
      </c>
      <c r="AU1014" s="120" t="s">
        <v>118</v>
      </c>
      <c r="AV1014" s="121">
        <v>0</v>
      </c>
      <c r="AW1014" s="105">
        <v>0</v>
      </c>
      <c r="AX1014" s="140">
        <f>IFERROR(((AG1014+AG1015)/(AF1014+AF1015))*100, "")</f>
        <v>1.0757774220152418</v>
      </c>
      <c r="AY1014" s="141">
        <f>ROUNDUP((AG1014+AG1015)*AH1014,0)</f>
        <v>29826</v>
      </c>
      <c r="AZ1014" s="107"/>
      <c r="BA1014" s="118">
        <v>45674.791666666664</v>
      </c>
      <c r="BB1014" s="118">
        <v>45674.795138888891</v>
      </c>
      <c r="BC1014" s="118">
        <v>45674.821527777778</v>
      </c>
      <c r="BD1014" s="118">
        <v>45674.9375</v>
      </c>
      <c r="BE1014" s="119">
        <f>+BD1014-BA1014</f>
        <v>0.14583333333575865</v>
      </c>
      <c r="BF1014" s="119">
        <v>0</v>
      </c>
      <c r="BG1014" s="119">
        <v>2.6388888888888889E-2</v>
      </c>
      <c r="BH1014" s="119">
        <f>+BB1014-BA1014</f>
        <v>3.4722222262644209E-3</v>
      </c>
      <c r="BI1014" s="119">
        <f>+BC1014-BB1014</f>
        <v>2.6388888887595385E-2</v>
      </c>
      <c r="BJ1014" s="119">
        <f>+BD1014-BC1014</f>
        <v>0.11597222222189885</v>
      </c>
      <c r="BK1014" s="119">
        <f>+BI1014+BJ1014</f>
        <v>0.14236111110949423</v>
      </c>
      <c r="BL1014" s="119">
        <f>+BE1014-BH1014-BF1014-BG1014</f>
        <v>0.11597222222060534</v>
      </c>
      <c r="BM1014" s="119" t="str">
        <f>IF(VALUE(BE1014)&lt;=VALUE("05:00"),"00:00",VALUE(BE1014)-VALUE("05:00"))</f>
        <v>00:00</v>
      </c>
      <c r="BN1014" s="110" t="s">
        <v>1068</v>
      </c>
    </row>
    <row r="1015" spans="1:66" s="8" customFormat="1" ht="12.75" customHeight="1" x14ac:dyDescent="0.25">
      <c r="A1015" s="122"/>
      <c r="B1015" s="122"/>
      <c r="C1015" s="90">
        <v>1</v>
      </c>
      <c r="D1015" s="122"/>
      <c r="E1015" s="210" t="s">
        <v>1069</v>
      </c>
      <c r="F1015" s="122"/>
      <c r="G1015" s="122"/>
      <c r="H1015" s="122"/>
      <c r="I1015" s="122"/>
      <c r="J1015" s="124"/>
      <c r="K1015" s="123"/>
      <c r="L1015" s="123"/>
      <c r="M1015" s="124"/>
      <c r="N1015" s="125"/>
      <c r="O1015" s="125"/>
      <c r="P1015" s="125"/>
      <c r="Q1015" s="125"/>
      <c r="R1015" s="125"/>
      <c r="S1015" s="125"/>
      <c r="T1015" s="125"/>
      <c r="U1015" s="125"/>
      <c r="V1015" s="126"/>
      <c r="W1015" s="189"/>
      <c r="X1015" s="126"/>
      <c r="Y1015" s="96">
        <v>0</v>
      </c>
      <c r="Z1015" s="96">
        <v>39</v>
      </c>
      <c r="AA1015" s="96">
        <f t="shared" si="584"/>
        <v>39</v>
      </c>
      <c r="AB1015" s="97">
        <f t="shared" si="585"/>
        <v>0</v>
      </c>
      <c r="AC1015" s="97">
        <f t="shared" si="586"/>
        <v>2714.09</v>
      </c>
      <c r="AD1015" s="98">
        <v>2714.09</v>
      </c>
      <c r="AE1015" s="98">
        <v>2726.2</v>
      </c>
      <c r="AF1015" s="98">
        <v>2733.2</v>
      </c>
      <c r="AG1015" s="98">
        <f t="shared" si="587"/>
        <v>19.109999999999673</v>
      </c>
      <c r="AH1015" s="99">
        <v>672.5</v>
      </c>
      <c r="AI1015" s="100">
        <f t="shared" si="588"/>
        <v>1838076.9999999998</v>
      </c>
      <c r="AJ1015" s="100">
        <f t="shared" ref="AJ1015:AJ1020" si="603">(0*AH1015)*2</f>
        <v>0</v>
      </c>
      <c r="AK1015" s="100">
        <v>0</v>
      </c>
      <c r="AL1015" s="100">
        <v>0</v>
      </c>
      <c r="AM1015" s="100">
        <v>0</v>
      </c>
      <c r="AN1015" s="100">
        <v>0</v>
      </c>
      <c r="AO1015" s="100">
        <v>0</v>
      </c>
      <c r="AP1015" s="100">
        <f t="shared" si="601"/>
        <v>91904</v>
      </c>
      <c r="AQ1015" s="101">
        <f t="shared" si="602"/>
        <v>1929981</v>
      </c>
      <c r="AR1015" s="101">
        <v>0</v>
      </c>
      <c r="AS1015" s="101">
        <v>0</v>
      </c>
      <c r="AT1015" s="138"/>
      <c r="AU1015" s="127"/>
      <c r="AV1015" s="128"/>
      <c r="AW1015" s="105">
        <v>0</v>
      </c>
      <c r="AX1015" s="144"/>
      <c r="AY1015" s="145"/>
      <c r="AZ1015" s="107"/>
      <c r="BA1015" s="125"/>
      <c r="BB1015" s="125"/>
      <c r="BC1015" s="125"/>
      <c r="BD1015" s="125"/>
      <c r="BE1015" s="126"/>
      <c r="BF1015" s="126"/>
      <c r="BG1015" s="126"/>
      <c r="BH1015" s="126"/>
      <c r="BI1015" s="126"/>
      <c r="BJ1015" s="126"/>
      <c r="BK1015" s="126"/>
      <c r="BL1015" s="126"/>
      <c r="BM1015" s="126"/>
      <c r="BN1015" s="110" t="s">
        <v>1070</v>
      </c>
    </row>
    <row r="1016" spans="1:66" s="8" customFormat="1" ht="12.75" customHeight="1" x14ac:dyDescent="0.25">
      <c r="A1016" s="150">
        <v>934</v>
      </c>
      <c r="B1016" s="150">
        <v>60</v>
      </c>
      <c r="C1016" s="90">
        <v>2</v>
      </c>
      <c r="D1016" s="111" t="s">
        <v>148</v>
      </c>
      <c r="E1016" s="210" t="s">
        <v>1069</v>
      </c>
      <c r="F1016" s="150" t="s">
        <v>16</v>
      </c>
      <c r="G1016" s="150" t="s">
        <v>17</v>
      </c>
      <c r="H1016" s="150" t="s">
        <v>150</v>
      </c>
      <c r="I1016" s="150" t="s">
        <v>566</v>
      </c>
      <c r="J1016" s="151">
        <v>45673</v>
      </c>
      <c r="K1016" s="135" t="s">
        <v>117</v>
      </c>
      <c r="L1016" s="135">
        <v>461000679</v>
      </c>
      <c r="M1016" s="151">
        <v>45675</v>
      </c>
      <c r="N1016" s="152">
        <v>45675.083333333336</v>
      </c>
      <c r="O1016" s="152">
        <v>45675.083333333336</v>
      </c>
      <c r="P1016" s="152">
        <v>45675.086805555555</v>
      </c>
      <c r="Q1016" s="152">
        <v>45675.25</v>
      </c>
      <c r="R1016" s="152" t="s">
        <v>118</v>
      </c>
      <c r="S1016" s="152" t="s">
        <v>118</v>
      </c>
      <c r="T1016" s="152">
        <v>45675.322916666664</v>
      </c>
      <c r="U1016" s="152">
        <v>45675.482638888891</v>
      </c>
      <c r="V1016" s="219">
        <f t="shared" ref="V1016:V1041" si="604">+Q1016-O1016</f>
        <v>0.16666666666424135</v>
      </c>
      <c r="W1016" s="203">
        <v>0.20833333333333334</v>
      </c>
      <c r="X1016" s="219" t="str">
        <f t="shared" ref="X1016:X1041" si="605">IF(VALUE(V1016)&lt;=VALUE("05:00"),"00:00",VALUE(V1016)-VALUE("05:00"))</f>
        <v>00:00</v>
      </c>
      <c r="Y1016" s="96">
        <v>0</v>
      </c>
      <c r="Z1016" s="96">
        <v>59</v>
      </c>
      <c r="AA1016" s="96">
        <f t="shared" si="584"/>
        <v>59</v>
      </c>
      <c r="AB1016" s="97">
        <f t="shared" si="585"/>
        <v>0</v>
      </c>
      <c r="AC1016" s="97">
        <f t="shared" si="586"/>
        <v>4118.1899999999996</v>
      </c>
      <c r="AD1016" s="98">
        <v>4118.1899999999996</v>
      </c>
      <c r="AE1016" s="98">
        <v>4107.2</v>
      </c>
      <c r="AF1016" s="98">
        <v>4141</v>
      </c>
      <c r="AG1016" s="98">
        <f t="shared" si="587"/>
        <v>22.8100000000004</v>
      </c>
      <c r="AH1016" s="99">
        <v>672.5</v>
      </c>
      <c r="AI1016" s="100">
        <f t="shared" si="588"/>
        <v>2784822.5</v>
      </c>
      <c r="AJ1016" s="100">
        <f t="shared" si="603"/>
        <v>0</v>
      </c>
      <c r="AK1016" s="100">
        <v>0</v>
      </c>
      <c r="AL1016" s="100">
        <v>24290</v>
      </c>
      <c r="AM1016" s="100">
        <v>0</v>
      </c>
      <c r="AN1016" s="100">
        <v>0</v>
      </c>
      <c r="AO1016" s="100">
        <v>0</v>
      </c>
      <c r="AP1016" s="100">
        <f t="shared" si="601"/>
        <v>140456</v>
      </c>
      <c r="AQ1016" s="101">
        <f t="shared" si="602"/>
        <v>2949569</v>
      </c>
      <c r="AR1016" s="101">
        <v>0</v>
      </c>
      <c r="AS1016" s="101">
        <v>0</v>
      </c>
      <c r="AT1016" s="102" t="s">
        <v>33</v>
      </c>
      <c r="AU1016" s="109">
        <v>20</v>
      </c>
      <c r="AV1016" s="100">
        <f>42.37-29.37</f>
        <v>12.999999999999996</v>
      </c>
      <c r="AW1016" s="105">
        <v>0</v>
      </c>
      <c r="AX1016" s="216">
        <f t="shared" ref="AX1016:AX1040" si="606">IFERROR((AG1016/AF1016)*100, "")</f>
        <v>0.55083313209370688</v>
      </c>
      <c r="AY1016" s="217">
        <f t="shared" ref="AY1016:AY1040" si="607">ROUNDUP(AG1016*AH1016,0)</f>
        <v>15340</v>
      </c>
      <c r="AZ1016" s="107"/>
      <c r="BA1016" s="94">
        <v>45675.083333333336</v>
      </c>
      <c r="BB1016" s="94">
        <v>45675.086805555555</v>
      </c>
      <c r="BC1016" s="94">
        <v>45675.086805555555</v>
      </c>
      <c r="BD1016" s="94">
        <v>45675.211805555555</v>
      </c>
      <c r="BE1016" s="95">
        <f t="shared" ref="BE1016:BE1041" si="608">+BD1016-BA1016</f>
        <v>0.12847222221898846</v>
      </c>
      <c r="BF1016" s="95">
        <v>0</v>
      </c>
      <c r="BG1016" s="95">
        <v>3.472222222222222E-3</v>
      </c>
      <c r="BH1016" s="95">
        <f t="shared" ref="BH1016:BJ1041" si="609">+BB1016-BA1016</f>
        <v>3.4722222189884633E-3</v>
      </c>
      <c r="BI1016" s="95">
        <f t="shared" si="609"/>
        <v>0</v>
      </c>
      <c r="BJ1016" s="95">
        <f t="shared" si="609"/>
        <v>0.125</v>
      </c>
      <c r="BK1016" s="95">
        <f t="shared" ref="BK1016:BK1041" si="610">+BI1016+BJ1016</f>
        <v>0.125</v>
      </c>
      <c r="BL1016" s="95">
        <f t="shared" ref="BL1016:BL1041" si="611">+BE1016-BH1016-BF1016-BG1016</f>
        <v>0.12152777777777778</v>
      </c>
      <c r="BM1016" s="95" t="str">
        <f t="shared" ref="BM1016:BM1041" si="612">IF(VALUE(BE1016)&lt;=VALUE("05:00"),"00:00",VALUE(BE1016)-VALUE("05:00"))</f>
        <v>00:00</v>
      </c>
      <c r="BN1016" s="110"/>
    </row>
    <row r="1017" spans="1:66" s="8" customFormat="1" ht="12.75" customHeight="1" x14ac:dyDescent="0.25">
      <c r="A1017" s="150">
        <v>935</v>
      </c>
      <c r="B1017" s="150">
        <v>61</v>
      </c>
      <c r="C1017" s="90">
        <v>3</v>
      </c>
      <c r="D1017" s="111" t="s">
        <v>148</v>
      </c>
      <c r="E1017" s="210" t="s">
        <v>1069</v>
      </c>
      <c r="F1017" s="150" t="s">
        <v>16</v>
      </c>
      <c r="G1017" s="150" t="s">
        <v>17</v>
      </c>
      <c r="H1017" s="150" t="s">
        <v>150</v>
      </c>
      <c r="I1017" s="150" t="s">
        <v>567</v>
      </c>
      <c r="J1017" s="151">
        <v>45673</v>
      </c>
      <c r="K1017" s="135" t="s">
        <v>122</v>
      </c>
      <c r="L1017" s="135">
        <v>461000680</v>
      </c>
      <c r="M1017" s="151">
        <v>45675</v>
      </c>
      <c r="N1017" s="152">
        <v>45675.5625</v>
      </c>
      <c r="O1017" s="152">
        <v>45675.5625</v>
      </c>
      <c r="P1017" s="152">
        <v>45675.569444444445</v>
      </c>
      <c r="Q1017" s="152">
        <v>45675.729166666664</v>
      </c>
      <c r="R1017" s="152" t="s">
        <v>118</v>
      </c>
      <c r="S1017" s="152" t="s">
        <v>118</v>
      </c>
      <c r="T1017" s="152">
        <v>45675.746527777781</v>
      </c>
      <c r="U1017" s="152">
        <v>45675.888888888891</v>
      </c>
      <c r="V1017" s="219">
        <f t="shared" si="604"/>
        <v>0.16666666666424135</v>
      </c>
      <c r="W1017" s="203">
        <v>0.20833333333333334</v>
      </c>
      <c r="X1017" s="219" t="str">
        <f t="shared" si="605"/>
        <v>00:00</v>
      </c>
      <c r="Y1017" s="96">
        <v>0</v>
      </c>
      <c r="Z1017" s="96">
        <v>58</v>
      </c>
      <c r="AA1017" s="96">
        <f t="shared" si="584"/>
        <v>58</v>
      </c>
      <c r="AB1017" s="97">
        <f t="shared" si="585"/>
        <v>0</v>
      </c>
      <c r="AC1017" s="97">
        <f t="shared" si="586"/>
        <v>4034.47</v>
      </c>
      <c r="AD1017" s="98">
        <v>4034.47</v>
      </c>
      <c r="AE1017" s="98">
        <v>4049.7</v>
      </c>
      <c r="AF1017" s="98">
        <v>4063.8</v>
      </c>
      <c r="AG1017" s="98">
        <f t="shared" si="587"/>
        <v>29.330000000000382</v>
      </c>
      <c r="AH1017" s="99">
        <v>672.5</v>
      </c>
      <c r="AI1017" s="100">
        <f t="shared" si="588"/>
        <v>2732905.5</v>
      </c>
      <c r="AJ1017" s="100">
        <f t="shared" si="603"/>
        <v>0</v>
      </c>
      <c r="AK1017" s="100">
        <v>0</v>
      </c>
      <c r="AL1017" s="100">
        <v>24140</v>
      </c>
      <c r="AM1017" s="100">
        <v>0</v>
      </c>
      <c r="AN1017" s="100">
        <v>0</v>
      </c>
      <c r="AO1017" s="100">
        <v>0</v>
      </c>
      <c r="AP1017" s="100">
        <f t="shared" si="601"/>
        <v>137853</v>
      </c>
      <c r="AQ1017" s="101">
        <f t="shared" si="602"/>
        <v>2894899</v>
      </c>
      <c r="AR1017" s="101">
        <v>0</v>
      </c>
      <c r="AS1017" s="101">
        <v>0</v>
      </c>
      <c r="AT1017" s="102" t="s">
        <v>33</v>
      </c>
      <c r="AU1017" s="109">
        <v>7</v>
      </c>
      <c r="AV1017" s="100">
        <f>17.27-13.27</f>
        <v>4</v>
      </c>
      <c r="AW1017" s="105">
        <v>0</v>
      </c>
      <c r="AX1017" s="216">
        <f t="shared" si="606"/>
        <v>0.72173827452139327</v>
      </c>
      <c r="AY1017" s="217">
        <f t="shared" si="607"/>
        <v>19725</v>
      </c>
      <c r="AZ1017" s="107"/>
      <c r="BA1017" s="94">
        <v>45675.5625</v>
      </c>
      <c r="BB1017" s="94">
        <v>45675.569444444445</v>
      </c>
      <c r="BC1017" s="94">
        <v>45675.569444444445</v>
      </c>
      <c r="BD1017" s="94">
        <v>45675.690972222219</v>
      </c>
      <c r="BE1017" s="95">
        <f t="shared" si="608"/>
        <v>0.12847222221898846</v>
      </c>
      <c r="BF1017" s="95">
        <v>0</v>
      </c>
      <c r="BG1017" s="95">
        <v>0</v>
      </c>
      <c r="BH1017" s="95">
        <f t="shared" si="609"/>
        <v>6.9444444452528842E-3</v>
      </c>
      <c r="BI1017" s="95">
        <f t="shared" si="609"/>
        <v>0</v>
      </c>
      <c r="BJ1017" s="95">
        <f t="shared" si="609"/>
        <v>0.12152777777373558</v>
      </c>
      <c r="BK1017" s="95">
        <f t="shared" si="610"/>
        <v>0.12152777777373558</v>
      </c>
      <c r="BL1017" s="95">
        <f t="shared" si="611"/>
        <v>0.12152777777373558</v>
      </c>
      <c r="BM1017" s="95" t="str">
        <f t="shared" si="612"/>
        <v>00:00</v>
      </c>
      <c r="BN1017" s="110"/>
    </row>
    <row r="1018" spans="1:66" s="8" customFormat="1" ht="12.75" customHeight="1" x14ac:dyDescent="0.25">
      <c r="A1018" s="150">
        <v>936</v>
      </c>
      <c r="B1018" s="150">
        <v>62</v>
      </c>
      <c r="C1018" s="90">
        <v>8</v>
      </c>
      <c r="D1018" s="111" t="s">
        <v>113</v>
      </c>
      <c r="E1018" s="210" t="s">
        <v>1024</v>
      </c>
      <c r="F1018" s="150" t="s">
        <v>32</v>
      </c>
      <c r="G1018" s="150" t="s">
        <v>15</v>
      </c>
      <c r="H1018" s="150" t="s">
        <v>135</v>
      </c>
      <c r="I1018" s="150" t="s">
        <v>1071</v>
      </c>
      <c r="J1018" s="151">
        <v>45675</v>
      </c>
      <c r="K1018" s="135" t="s">
        <v>117</v>
      </c>
      <c r="L1018" s="135">
        <v>261006191</v>
      </c>
      <c r="M1018" s="151">
        <v>45676</v>
      </c>
      <c r="N1018" s="152">
        <v>45676.09375</v>
      </c>
      <c r="O1018" s="152">
        <v>45676.09375</v>
      </c>
      <c r="P1018" s="152">
        <v>45676.114583333336</v>
      </c>
      <c r="Q1018" s="152">
        <v>45676.302083333336</v>
      </c>
      <c r="R1018" s="152" t="s">
        <v>118</v>
      </c>
      <c r="S1018" s="152" t="s">
        <v>118</v>
      </c>
      <c r="T1018" s="152">
        <v>45676.319444444445</v>
      </c>
      <c r="U1018" s="152">
        <v>45676.400694444441</v>
      </c>
      <c r="V1018" s="219">
        <f t="shared" si="604"/>
        <v>0.20833333333575865</v>
      </c>
      <c r="W1018" s="203">
        <v>0.20833333333333334</v>
      </c>
      <c r="X1018" s="219">
        <f t="shared" si="605"/>
        <v>2.4253099528692701E-12</v>
      </c>
      <c r="Y1018" s="96">
        <v>0</v>
      </c>
      <c r="Z1018" s="96">
        <v>58</v>
      </c>
      <c r="AA1018" s="96">
        <f t="shared" si="584"/>
        <v>58</v>
      </c>
      <c r="AB1018" s="97">
        <f t="shared" si="585"/>
        <v>0</v>
      </c>
      <c r="AC1018" s="97">
        <f t="shared" si="586"/>
        <v>3855.56</v>
      </c>
      <c r="AD1018" s="98">
        <v>3855.56</v>
      </c>
      <c r="AE1018" s="98">
        <v>4029.2</v>
      </c>
      <c r="AF1018" s="98">
        <v>4029.2</v>
      </c>
      <c r="AG1018" s="98">
        <f t="shared" si="587"/>
        <v>173.63999999999987</v>
      </c>
      <c r="AH1018" s="99">
        <v>797.2</v>
      </c>
      <c r="AI1018" s="100">
        <f t="shared" si="588"/>
        <v>3212078.24</v>
      </c>
      <c r="AJ1018" s="100">
        <f t="shared" si="603"/>
        <v>0</v>
      </c>
      <c r="AK1018" s="100">
        <v>0</v>
      </c>
      <c r="AL1018" s="100">
        <v>0</v>
      </c>
      <c r="AM1018" s="100">
        <v>0</v>
      </c>
      <c r="AN1018" s="100">
        <v>0</v>
      </c>
      <c r="AO1018" s="100">
        <v>0</v>
      </c>
      <c r="AP1018" s="100">
        <f t="shared" si="601"/>
        <v>160604</v>
      </c>
      <c r="AQ1018" s="101">
        <f t="shared" si="602"/>
        <v>3372683</v>
      </c>
      <c r="AR1018" s="101">
        <v>0</v>
      </c>
      <c r="AS1018" s="101">
        <v>0</v>
      </c>
      <c r="AT1018" s="102" t="s">
        <v>33</v>
      </c>
      <c r="AU1018" s="109" t="s">
        <v>118</v>
      </c>
      <c r="AV1018" s="100">
        <v>0</v>
      </c>
      <c r="AW1018" s="105">
        <v>0</v>
      </c>
      <c r="AX1018" s="216">
        <f t="shared" si="606"/>
        <v>4.3095403554055371</v>
      </c>
      <c r="AY1018" s="217">
        <f t="shared" si="607"/>
        <v>138426</v>
      </c>
      <c r="AZ1018" s="107"/>
      <c r="BA1018" s="94">
        <v>45676.09375</v>
      </c>
      <c r="BB1018" s="94">
        <v>45676.111111111109</v>
      </c>
      <c r="BC1018" s="94">
        <v>45676.111111111109</v>
      </c>
      <c r="BD1018" s="94">
        <v>45676.241666666669</v>
      </c>
      <c r="BE1018" s="95">
        <f t="shared" si="608"/>
        <v>0.14791666666860692</v>
      </c>
      <c r="BF1018" s="95">
        <v>0</v>
      </c>
      <c r="BG1018" s="95">
        <v>2.7083333333333334E-2</v>
      </c>
      <c r="BH1018" s="95">
        <f t="shared" si="609"/>
        <v>1.7361111109494232E-2</v>
      </c>
      <c r="BI1018" s="95">
        <f t="shared" si="609"/>
        <v>0</v>
      </c>
      <c r="BJ1018" s="95">
        <f t="shared" si="609"/>
        <v>0.13055555555911269</v>
      </c>
      <c r="BK1018" s="95">
        <f t="shared" si="610"/>
        <v>0.13055555555911269</v>
      </c>
      <c r="BL1018" s="95">
        <f t="shared" si="611"/>
        <v>0.10347222222577936</v>
      </c>
      <c r="BM1018" s="95" t="str">
        <f t="shared" si="612"/>
        <v>00:00</v>
      </c>
      <c r="BN1018" s="110"/>
    </row>
    <row r="1019" spans="1:66" s="8" customFormat="1" ht="12.75" customHeight="1" x14ac:dyDescent="0.25">
      <c r="A1019" s="150">
        <v>937</v>
      </c>
      <c r="B1019" s="150">
        <v>63</v>
      </c>
      <c r="C1019" s="90">
        <v>4</v>
      </c>
      <c r="D1019" s="111" t="s">
        <v>148</v>
      </c>
      <c r="E1019" s="210" t="s">
        <v>1069</v>
      </c>
      <c r="F1019" s="150" t="s">
        <v>16</v>
      </c>
      <c r="G1019" s="150" t="s">
        <v>17</v>
      </c>
      <c r="H1019" s="150" t="s">
        <v>150</v>
      </c>
      <c r="I1019" s="150" t="s">
        <v>568</v>
      </c>
      <c r="J1019" s="151">
        <v>45675</v>
      </c>
      <c r="K1019" s="135" t="s">
        <v>122</v>
      </c>
      <c r="L1019" s="135">
        <v>461000681</v>
      </c>
      <c r="M1019" s="151">
        <v>45676</v>
      </c>
      <c r="N1019" s="152">
        <v>45676.447916666664</v>
      </c>
      <c r="O1019" s="152">
        <v>45676.4375</v>
      </c>
      <c r="P1019" s="152">
        <v>45676.451388888891</v>
      </c>
      <c r="Q1019" s="152">
        <v>45676.635416666664</v>
      </c>
      <c r="R1019" s="152">
        <v>45676.447916666664</v>
      </c>
      <c r="S1019" s="152" t="s">
        <v>118</v>
      </c>
      <c r="T1019" s="152">
        <v>45676.65625</v>
      </c>
      <c r="U1019" s="152">
        <v>45676.753472222219</v>
      </c>
      <c r="V1019" s="219">
        <f t="shared" si="604"/>
        <v>0.19791666666424135</v>
      </c>
      <c r="W1019" s="203">
        <v>0.20833333333333334</v>
      </c>
      <c r="X1019" s="219" t="str">
        <f t="shared" si="605"/>
        <v>00:00</v>
      </c>
      <c r="Y1019" s="96">
        <v>0</v>
      </c>
      <c r="Z1019" s="96">
        <v>59</v>
      </c>
      <c r="AA1019" s="96">
        <f t="shared" si="584"/>
        <v>59</v>
      </c>
      <c r="AB1019" s="97">
        <f t="shared" si="585"/>
        <v>0</v>
      </c>
      <c r="AC1019" s="97">
        <f t="shared" si="586"/>
        <v>4100.82</v>
      </c>
      <c r="AD1019" s="98">
        <v>4100.82</v>
      </c>
      <c r="AE1019" s="98">
        <v>4096.8999999999996</v>
      </c>
      <c r="AF1019" s="98">
        <v>4124</v>
      </c>
      <c r="AG1019" s="98">
        <f t="shared" si="587"/>
        <v>23.180000000000291</v>
      </c>
      <c r="AH1019" s="99">
        <v>672.5</v>
      </c>
      <c r="AI1019" s="100">
        <f t="shared" si="588"/>
        <v>2773390</v>
      </c>
      <c r="AJ1019" s="100">
        <f t="shared" si="603"/>
        <v>0</v>
      </c>
      <c r="AK1019" s="100">
        <v>0</v>
      </c>
      <c r="AL1019" s="100">
        <v>24290</v>
      </c>
      <c r="AM1019" s="100">
        <v>0</v>
      </c>
      <c r="AN1019" s="100">
        <v>0</v>
      </c>
      <c r="AO1019" s="100">
        <v>0</v>
      </c>
      <c r="AP1019" s="100">
        <f t="shared" si="601"/>
        <v>139884</v>
      </c>
      <c r="AQ1019" s="101">
        <f t="shared" si="602"/>
        <v>2937564</v>
      </c>
      <c r="AR1019" s="101">
        <v>0</v>
      </c>
      <c r="AS1019" s="101">
        <v>0</v>
      </c>
      <c r="AT1019" s="102" t="s">
        <v>33</v>
      </c>
      <c r="AU1019" s="109">
        <v>15</v>
      </c>
      <c r="AV1019" s="100">
        <f>32.34-22.34</f>
        <v>10.000000000000004</v>
      </c>
      <c r="AW1019" s="105">
        <v>0</v>
      </c>
      <c r="AX1019" s="216">
        <f t="shared" si="606"/>
        <v>0.56207565470417775</v>
      </c>
      <c r="AY1019" s="217">
        <f t="shared" si="607"/>
        <v>15589</v>
      </c>
      <c r="AZ1019" s="107"/>
      <c r="BA1019" s="94">
        <v>45676.447916666664</v>
      </c>
      <c r="BB1019" s="94">
        <v>45676.451388888891</v>
      </c>
      <c r="BC1019" s="94">
        <v>45676.461805555555</v>
      </c>
      <c r="BD1019" s="94">
        <v>45676.576388888891</v>
      </c>
      <c r="BE1019" s="95">
        <f t="shared" si="608"/>
        <v>0.12847222222626442</v>
      </c>
      <c r="BF1019" s="95">
        <v>1.0416666666666666E-2</v>
      </c>
      <c r="BG1019" s="95">
        <v>0</v>
      </c>
      <c r="BH1019" s="95">
        <f t="shared" si="609"/>
        <v>3.4722222262644209E-3</v>
      </c>
      <c r="BI1019" s="95">
        <f t="shared" si="609"/>
        <v>1.0416666664241347E-2</v>
      </c>
      <c r="BJ1019" s="95">
        <f t="shared" si="609"/>
        <v>0.11458333333575865</v>
      </c>
      <c r="BK1019" s="95">
        <f t="shared" si="610"/>
        <v>0.125</v>
      </c>
      <c r="BL1019" s="95">
        <f t="shared" si="611"/>
        <v>0.11458333333333333</v>
      </c>
      <c r="BM1019" s="95" t="str">
        <f t="shared" si="612"/>
        <v>00:00</v>
      </c>
      <c r="BN1019" s="110"/>
    </row>
    <row r="1020" spans="1:66" s="8" customFormat="1" ht="12.75" customHeight="1" x14ac:dyDescent="0.25">
      <c r="A1020" s="150">
        <v>938</v>
      </c>
      <c r="B1020" s="150">
        <v>64</v>
      </c>
      <c r="C1020" s="90">
        <v>9</v>
      </c>
      <c r="D1020" s="111" t="s">
        <v>113</v>
      </c>
      <c r="E1020" s="210" t="s">
        <v>948</v>
      </c>
      <c r="F1020" s="150" t="s">
        <v>14</v>
      </c>
      <c r="G1020" s="150" t="s">
        <v>15</v>
      </c>
      <c r="H1020" s="150" t="s">
        <v>779</v>
      </c>
      <c r="I1020" s="150" t="s">
        <v>1072</v>
      </c>
      <c r="J1020" s="151">
        <v>45676</v>
      </c>
      <c r="K1020" s="135" t="s">
        <v>117</v>
      </c>
      <c r="L1020" s="135">
        <v>281000275</v>
      </c>
      <c r="M1020" s="151">
        <v>45677</v>
      </c>
      <c r="N1020" s="152">
        <v>45676.635416666664</v>
      </c>
      <c r="O1020" s="152">
        <v>45676.635416666664</v>
      </c>
      <c r="P1020" s="152">
        <v>45676.638888888891</v>
      </c>
      <c r="Q1020" s="152">
        <v>45676.833333333336</v>
      </c>
      <c r="R1020" s="152" t="s">
        <v>118</v>
      </c>
      <c r="S1020" s="152" t="s">
        <v>118</v>
      </c>
      <c r="T1020" s="152">
        <v>45676.864583333336</v>
      </c>
      <c r="U1020" s="152">
        <v>45676.998611111114</v>
      </c>
      <c r="V1020" s="219">
        <f t="shared" si="604"/>
        <v>0.19791666667151731</v>
      </c>
      <c r="W1020" s="203">
        <v>0.20833333333333334</v>
      </c>
      <c r="X1020" s="219" t="str">
        <f t="shared" si="605"/>
        <v>00:00</v>
      </c>
      <c r="Y1020" s="96">
        <v>0</v>
      </c>
      <c r="Z1020" s="96">
        <v>58</v>
      </c>
      <c r="AA1020" s="96">
        <f t="shared" si="584"/>
        <v>58</v>
      </c>
      <c r="AB1020" s="97">
        <f t="shared" si="585"/>
        <v>0</v>
      </c>
      <c r="AC1020" s="97">
        <f t="shared" si="586"/>
        <v>3895.36</v>
      </c>
      <c r="AD1020" s="98">
        <v>3895.36</v>
      </c>
      <c r="AE1020" s="98">
        <v>4040.4</v>
      </c>
      <c r="AF1020" s="98">
        <v>4040.4</v>
      </c>
      <c r="AG1020" s="98">
        <f t="shared" si="587"/>
        <v>145.03999999999996</v>
      </c>
      <c r="AH1020" s="99">
        <v>1435.6</v>
      </c>
      <c r="AI1020" s="100">
        <f t="shared" si="588"/>
        <v>5800398.2400000002</v>
      </c>
      <c r="AJ1020" s="100">
        <f t="shared" si="603"/>
        <v>0</v>
      </c>
      <c r="AK1020" s="100">
        <v>0</v>
      </c>
      <c r="AL1020" s="100">
        <v>0</v>
      </c>
      <c r="AM1020" s="100">
        <v>0</v>
      </c>
      <c r="AN1020" s="100">
        <v>0</v>
      </c>
      <c r="AO1020" s="100">
        <v>0</v>
      </c>
      <c r="AP1020" s="100">
        <f t="shared" si="601"/>
        <v>290020</v>
      </c>
      <c r="AQ1020" s="101">
        <f t="shared" si="602"/>
        <v>6090419</v>
      </c>
      <c r="AR1020" s="101">
        <v>0</v>
      </c>
      <c r="AS1020" s="101">
        <v>0</v>
      </c>
      <c r="AT1020" s="102" t="s">
        <v>33</v>
      </c>
      <c r="AU1020" s="109" t="s">
        <v>118</v>
      </c>
      <c r="AV1020" s="100">
        <v>0</v>
      </c>
      <c r="AW1020" s="105">
        <v>0</v>
      </c>
      <c r="AX1020" s="216">
        <f t="shared" si="606"/>
        <v>3.589743589743589</v>
      </c>
      <c r="AY1020" s="217">
        <f t="shared" si="607"/>
        <v>208220</v>
      </c>
      <c r="AZ1020" s="107"/>
      <c r="BA1020" s="94">
        <v>45676.635416666664</v>
      </c>
      <c r="BB1020" s="94">
        <v>45676.638888888891</v>
      </c>
      <c r="BC1020" s="94">
        <v>45676.652777777781</v>
      </c>
      <c r="BD1020" s="94">
        <v>45676.798611111109</v>
      </c>
      <c r="BE1020" s="95">
        <f t="shared" si="608"/>
        <v>0.16319444444525288</v>
      </c>
      <c r="BF1020" s="95">
        <v>0</v>
      </c>
      <c r="BG1020" s="95">
        <v>5.0694444444444445E-2</v>
      </c>
      <c r="BH1020" s="95">
        <f t="shared" si="609"/>
        <v>3.4722222262644209E-3</v>
      </c>
      <c r="BI1020" s="95">
        <f t="shared" si="609"/>
        <v>1.3888888890505768E-2</v>
      </c>
      <c r="BJ1020" s="95">
        <f t="shared" si="609"/>
        <v>0.14583333332848269</v>
      </c>
      <c r="BK1020" s="95">
        <f t="shared" si="610"/>
        <v>0.15972222221898846</v>
      </c>
      <c r="BL1020" s="95">
        <f t="shared" si="611"/>
        <v>0.10902777777454402</v>
      </c>
      <c r="BM1020" s="95" t="str">
        <f t="shared" si="612"/>
        <v>00:00</v>
      </c>
      <c r="BN1020" s="110"/>
    </row>
    <row r="1021" spans="1:66" s="8" customFormat="1" ht="12.75" customHeight="1" x14ac:dyDescent="0.25">
      <c r="A1021" s="150">
        <v>939</v>
      </c>
      <c r="B1021" s="150">
        <v>65</v>
      </c>
      <c r="C1021" s="90">
        <v>5</v>
      </c>
      <c r="D1021" s="111" t="s">
        <v>148</v>
      </c>
      <c r="E1021" s="210" t="s">
        <v>1069</v>
      </c>
      <c r="F1021" s="150" t="s">
        <v>16</v>
      </c>
      <c r="G1021" s="150" t="s">
        <v>17</v>
      </c>
      <c r="H1021" s="150" t="s">
        <v>150</v>
      </c>
      <c r="I1021" s="150" t="s">
        <v>569</v>
      </c>
      <c r="J1021" s="151">
        <v>45675</v>
      </c>
      <c r="K1021" s="135" t="s">
        <v>122</v>
      </c>
      <c r="L1021" s="135">
        <v>461000682</v>
      </c>
      <c r="M1021" s="151">
        <v>45677</v>
      </c>
      <c r="N1021" s="152">
        <v>45676.791666666664</v>
      </c>
      <c r="O1021" s="152">
        <v>45676.791666666664</v>
      </c>
      <c r="P1021" s="152">
        <v>45676.795138888891</v>
      </c>
      <c r="Q1021" s="152">
        <v>45676.993055555555</v>
      </c>
      <c r="R1021" s="152" t="s">
        <v>118</v>
      </c>
      <c r="S1021" s="152" t="s">
        <v>118</v>
      </c>
      <c r="T1021" s="152">
        <v>45677.0625</v>
      </c>
      <c r="U1021" s="152">
        <v>45677.182638888888</v>
      </c>
      <c r="V1021" s="219">
        <f t="shared" si="604"/>
        <v>0.20138888889050577</v>
      </c>
      <c r="W1021" s="203">
        <v>0.20833333333333334</v>
      </c>
      <c r="X1021" s="219" t="str">
        <f t="shared" si="605"/>
        <v>00:00</v>
      </c>
      <c r="Y1021" s="96">
        <v>0</v>
      </c>
      <c r="Z1021" s="96">
        <v>58</v>
      </c>
      <c r="AA1021" s="96">
        <f t="shared" si="584"/>
        <v>58</v>
      </c>
      <c r="AB1021" s="97">
        <f t="shared" si="585"/>
        <v>0</v>
      </c>
      <c r="AC1021" s="97">
        <f t="shared" si="586"/>
        <v>4033.07</v>
      </c>
      <c r="AD1021" s="98">
        <v>4033.07</v>
      </c>
      <c r="AE1021" s="98">
        <v>4058</v>
      </c>
      <c r="AF1021" s="98">
        <v>4068.6</v>
      </c>
      <c r="AG1021" s="98">
        <f t="shared" si="587"/>
        <v>35.529999999999745</v>
      </c>
      <c r="AH1021" s="99">
        <v>672.5</v>
      </c>
      <c r="AI1021" s="100">
        <f t="shared" si="588"/>
        <v>2736133.5</v>
      </c>
      <c r="AJ1021" s="100">
        <f>(0.2*AH1021)*2</f>
        <v>269</v>
      </c>
      <c r="AK1021" s="100">
        <v>0</v>
      </c>
      <c r="AL1021" s="100">
        <v>0</v>
      </c>
      <c r="AM1021" s="100">
        <v>0</v>
      </c>
      <c r="AN1021" s="100">
        <v>0</v>
      </c>
      <c r="AO1021" s="100">
        <v>0</v>
      </c>
      <c r="AP1021" s="100">
        <f t="shared" si="601"/>
        <v>136821</v>
      </c>
      <c r="AQ1021" s="101">
        <f t="shared" si="602"/>
        <v>2873224</v>
      </c>
      <c r="AR1021" s="101">
        <v>0</v>
      </c>
      <c r="AS1021" s="101">
        <v>0</v>
      </c>
      <c r="AT1021" s="102" t="s">
        <v>33</v>
      </c>
      <c r="AU1021" s="109" t="s">
        <v>118</v>
      </c>
      <c r="AV1021" s="100">
        <v>0</v>
      </c>
      <c r="AW1021" s="105">
        <v>0</v>
      </c>
      <c r="AX1021" s="216">
        <f t="shared" si="606"/>
        <v>0.87327336184436288</v>
      </c>
      <c r="AY1021" s="217">
        <f t="shared" si="607"/>
        <v>23894</v>
      </c>
      <c r="AZ1021" s="107"/>
      <c r="BA1021" s="94">
        <v>45676.791666666664</v>
      </c>
      <c r="BB1021" s="94">
        <v>45676.795138888891</v>
      </c>
      <c r="BC1021" s="94">
        <v>45676.809027777781</v>
      </c>
      <c r="BD1021" s="94">
        <v>45676.923611111109</v>
      </c>
      <c r="BE1021" s="95">
        <f t="shared" si="608"/>
        <v>0.13194444444525288</v>
      </c>
      <c r="BF1021" s="95">
        <v>0</v>
      </c>
      <c r="BG1021" s="95">
        <v>1.3888888888888888E-2</v>
      </c>
      <c r="BH1021" s="95">
        <f t="shared" si="609"/>
        <v>3.4722222262644209E-3</v>
      </c>
      <c r="BI1021" s="95">
        <f t="shared" si="609"/>
        <v>1.3888888890505768E-2</v>
      </c>
      <c r="BJ1021" s="95">
        <f t="shared" si="609"/>
        <v>0.11458333332848269</v>
      </c>
      <c r="BK1021" s="95">
        <f t="shared" si="610"/>
        <v>0.12847222221898846</v>
      </c>
      <c r="BL1021" s="95">
        <f t="shared" si="611"/>
        <v>0.11458333333009957</v>
      </c>
      <c r="BM1021" s="95" t="str">
        <f t="shared" si="612"/>
        <v>00:00</v>
      </c>
      <c r="BN1021" s="110"/>
    </row>
    <row r="1022" spans="1:66" s="8" customFormat="1" ht="12.75" customHeight="1" x14ac:dyDescent="0.25">
      <c r="A1022" s="150">
        <v>940</v>
      </c>
      <c r="B1022" s="150">
        <v>66</v>
      </c>
      <c r="C1022" s="90">
        <v>6</v>
      </c>
      <c r="D1022" s="111" t="s">
        <v>148</v>
      </c>
      <c r="E1022" s="210" t="s">
        <v>1069</v>
      </c>
      <c r="F1022" s="150" t="s">
        <v>16</v>
      </c>
      <c r="G1022" s="150" t="s">
        <v>17</v>
      </c>
      <c r="H1022" s="150" t="s">
        <v>150</v>
      </c>
      <c r="I1022" s="150" t="s">
        <v>571</v>
      </c>
      <c r="J1022" s="151">
        <v>45675</v>
      </c>
      <c r="K1022" s="135" t="s">
        <v>117</v>
      </c>
      <c r="L1022" s="135">
        <v>461000683</v>
      </c>
      <c r="M1022" s="151">
        <v>45677</v>
      </c>
      <c r="N1022" s="152">
        <v>45677.104166666664</v>
      </c>
      <c r="O1022" s="152">
        <v>45677.104166666664</v>
      </c>
      <c r="P1022" s="152">
        <v>45677.111111111109</v>
      </c>
      <c r="Q1022" s="152">
        <v>45677.291666666664</v>
      </c>
      <c r="R1022" s="152" t="s">
        <v>118</v>
      </c>
      <c r="S1022" s="152" t="s">
        <v>118</v>
      </c>
      <c r="T1022" s="152">
        <v>45677.381944444445</v>
      </c>
      <c r="U1022" s="152">
        <v>45677.5</v>
      </c>
      <c r="V1022" s="219">
        <f t="shared" si="604"/>
        <v>0.1875</v>
      </c>
      <c r="W1022" s="203">
        <v>0.20833333333333334</v>
      </c>
      <c r="X1022" s="219" t="str">
        <f t="shared" si="605"/>
        <v>00:00</v>
      </c>
      <c r="Y1022" s="96">
        <v>0</v>
      </c>
      <c r="Z1022" s="96">
        <v>58</v>
      </c>
      <c r="AA1022" s="96">
        <f t="shared" si="584"/>
        <v>58</v>
      </c>
      <c r="AB1022" s="97">
        <f t="shared" si="585"/>
        <v>0</v>
      </c>
      <c r="AC1022" s="97">
        <f t="shared" si="586"/>
        <v>4038.1699999999996</v>
      </c>
      <c r="AD1022" s="98">
        <v>4038.17</v>
      </c>
      <c r="AE1022" s="98">
        <v>4051.5</v>
      </c>
      <c r="AF1022" s="98">
        <v>4063.8</v>
      </c>
      <c r="AG1022" s="98">
        <f t="shared" si="587"/>
        <v>25.630000000000109</v>
      </c>
      <c r="AH1022" s="99">
        <v>672.5</v>
      </c>
      <c r="AI1022" s="100">
        <f t="shared" si="588"/>
        <v>2732905.5</v>
      </c>
      <c r="AJ1022" s="100">
        <f>(0*AH1022)*2</f>
        <v>0</v>
      </c>
      <c r="AK1022" s="100">
        <v>0</v>
      </c>
      <c r="AL1022" s="100">
        <v>24140</v>
      </c>
      <c r="AM1022" s="100">
        <v>0</v>
      </c>
      <c r="AN1022" s="100">
        <v>0</v>
      </c>
      <c r="AO1022" s="100">
        <v>0</v>
      </c>
      <c r="AP1022" s="100">
        <f t="shared" si="601"/>
        <v>137853</v>
      </c>
      <c r="AQ1022" s="101">
        <f t="shared" si="602"/>
        <v>2894899</v>
      </c>
      <c r="AR1022" s="101">
        <v>0</v>
      </c>
      <c r="AS1022" s="101">
        <v>0</v>
      </c>
      <c r="AT1022" s="102" t="s">
        <v>33</v>
      </c>
      <c r="AU1022" s="109">
        <v>6</v>
      </c>
      <c r="AV1022" s="100">
        <f>13.83-10.33</f>
        <v>3.5</v>
      </c>
      <c r="AW1022" s="105">
        <v>0</v>
      </c>
      <c r="AX1022" s="216">
        <f t="shared" si="606"/>
        <v>0.6306904867365547</v>
      </c>
      <c r="AY1022" s="217">
        <f t="shared" si="607"/>
        <v>17237</v>
      </c>
      <c r="AZ1022" s="107"/>
      <c r="BA1022" s="94">
        <v>45677.104166666664</v>
      </c>
      <c r="BB1022" s="94">
        <v>45677.111111111109</v>
      </c>
      <c r="BC1022" s="94">
        <v>45677.111111111109</v>
      </c>
      <c r="BD1022" s="94">
        <v>45677.229166666664</v>
      </c>
      <c r="BE1022" s="95">
        <f t="shared" si="608"/>
        <v>0.125</v>
      </c>
      <c r="BF1022" s="95">
        <v>0</v>
      </c>
      <c r="BG1022" s="95">
        <v>0</v>
      </c>
      <c r="BH1022" s="95">
        <f t="shared" si="609"/>
        <v>6.9444444452528842E-3</v>
      </c>
      <c r="BI1022" s="95">
        <f t="shared" si="609"/>
        <v>0</v>
      </c>
      <c r="BJ1022" s="95">
        <f t="shared" si="609"/>
        <v>0.11805555555474712</v>
      </c>
      <c r="BK1022" s="95">
        <f t="shared" si="610"/>
        <v>0.11805555555474712</v>
      </c>
      <c r="BL1022" s="95">
        <f t="shared" si="611"/>
        <v>0.11805555555474712</v>
      </c>
      <c r="BM1022" s="95" t="str">
        <f t="shared" si="612"/>
        <v>00:00</v>
      </c>
      <c r="BN1022" s="110"/>
    </row>
    <row r="1023" spans="1:66" s="8" customFormat="1" ht="12.75" customHeight="1" x14ac:dyDescent="0.25">
      <c r="A1023" s="150">
        <v>941</v>
      </c>
      <c r="B1023" s="150">
        <v>67</v>
      </c>
      <c r="C1023" s="90">
        <v>7</v>
      </c>
      <c r="D1023" s="111" t="s">
        <v>148</v>
      </c>
      <c r="E1023" s="210" t="s">
        <v>1069</v>
      </c>
      <c r="F1023" s="150" t="s">
        <v>16</v>
      </c>
      <c r="G1023" s="150" t="s">
        <v>17</v>
      </c>
      <c r="H1023" s="150" t="s">
        <v>150</v>
      </c>
      <c r="I1023" s="150" t="s">
        <v>572</v>
      </c>
      <c r="J1023" s="151">
        <v>45675</v>
      </c>
      <c r="K1023" s="135" t="s">
        <v>122</v>
      </c>
      <c r="L1023" s="135">
        <v>461000684</v>
      </c>
      <c r="M1023" s="151">
        <v>45677</v>
      </c>
      <c r="N1023" s="152">
        <v>45677.375</v>
      </c>
      <c r="O1023" s="152">
        <v>45677.375</v>
      </c>
      <c r="P1023" s="152">
        <v>45677.378472222219</v>
      </c>
      <c r="Q1023" s="152">
        <v>45677.520833333336</v>
      </c>
      <c r="R1023" s="152" t="s">
        <v>118</v>
      </c>
      <c r="S1023" s="152" t="s">
        <v>118</v>
      </c>
      <c r="T1023" s="152">
        <v>45677.569444444445</v>
      </c>
      <c r="U1023" s="152">
        <v>45677.704861111109</v>
      </c>
      <c r="V1023" s="219">
        <f t="shared" si="604"/>
        <v>0.14583333333575865</v>
      </c>
      <c r="W1023" s="203">
        <v>0.20833333333333334</v>
      </c>
      <c r="X1023" s="219" t="str">
        <f t="shared" si="605"/>
        <v>00:00</v>
      </c>
      <c r="Y1023" s="96">
        <v>0</v>
      </c>
      <c r="Z1023" s="96">
        <v>58</v>
      </c>
      <c r="AA1023" s="96">
        <f t="shared" si="584"/>
        <v>58</v>
      </c>
      <c r="AB1023" s="97">
        <f t="shared" si="585"/>
        <v>0</v>
      </c>
      <c r="AC1023" s="97">
        <f t="shared" si="586"/>
        <v>4004.0500000000006</v>
      </c>
      <c r="AD1023" s="98">
        <v>4004.05</v>
      </c>
      <c r="AE1023" s="98">
        <v>4025.7</v>
      </c>
      <c r="AF1023" s="98">
        <v>4041.4</v>
      </c>
      <c r="AG1023" s="98">
        <f t="shared" si="587"/>
        <v>37.349999999999909</v>
      </c>
      <c r="AH1023" s="99">
        <v>672.5</v>
      </c>
      <c r="AI1023" s="100">
        <f t="shared" si="588"/>
        <v>2717841.5</v>
      </c>
      <c r="AJ1023" s="100">
        <f>(0*AH1023)*2</f>
        <v>0</v>
      </c>
      <c r="AK1023" s="100">
        <v>0</v>
      </c>
      <c r="AL1023" s="100">
        <v>24140</v>
      </c>
      <c r="AM1023" s="100">
        <v>0</v>
      </c>
      <c r="AN1023" s="100">
        <v>0</v>
      </c>
      <c r="AO1023" s="100">
        <v>0</v>
      </c>
      <c r="AP1023" s="100">
        <f t="shared" si="601"/>
        <v>137100</v>
      </c>
      <c r="AQ1023" s="101">
        <f t="shared" si="602"/>
        <v>2879082</v>
      </c>
      <c r="AR1023" s="101">
        <v>0</v>
      </c>
      <c r="AS1023" s="101">
        <v>0</v>
      </c>
      <c r="AT1023" s="102" t="s">
        <v>33</v>
      </c>
      <c r="AU1023" s="109">
        <v>11</v>
      </c>
      <c r="AV1023" s="100">
        <f>21.69-13.19</f>
        <v>8.5000000000000018</v>
      </c>
      <c r="AW1023" s="105">
        <v>0</v>
      </c>
      <c r="AX1023" s="216">
        <f t="shared" si="606"/>
        <v>0.92418468847428881</v>
      </c>
      <c r="AY1023" s="217">
        <f t="shared" si="607"/>
        <v>25118</v>
      </c>
      <c r="AZ1023" s="107"/>
      <c r="BA1023" s="94">
        <v>45677.375</v>
      </c>
      <c r="BB1023" s="94">
        <v>45677.378472222219</v>
      </c>
      <c r="BC1023" s="94">
        <v>45677.378472222219</v>
      </c>
      <c r="BD1023" s="94">
        <v>45677.491666666669</v>
      </c>
      <c r="BE1023" s="95">
        <f t="shared" si="608"/>
        <v>0.11666666666860692</v>
      </c>
      <c r="BF1023" s="95">
        <v>0</v>
      </c>
      <c r="BG1023" s="95">
        <v>0</v>
      </c>
      <c r="BH1023" s="95">
        <f t="shared" si="609"/>
        <v>3.4722222189884633E-3</v>
      </c>
      <c r="BI1023" s="95">
        <f t="shared" si="609"/>
        <v>0</v>
      </c>
      <c r="BJ1023" s="95">
        <f t="shared" si="609"/>
        <v>0.11319444444961846</v>
      </c>
      <c r="BK1023" s="95">
        <f t="shared" si="610"/>
        <v>0.11319444444961846</v>
      </c>
      <c r="BL1023" s="95">
        <f t="shared" si="611"/>
        <v>0.11319444444961846</v>
      </c>
      <c r="BM1023" s="95" t="str">
        <f t="shared" si="612"/>
        <v>00:00</v>
      </c>
      <c r="BN1023" s="110"/>
    </row>
    <row r="1024" spans="1:66" s="8" customFormat="1" ht="12.75" customHeight="1" x14ac:dyDescent="0.25">
      <c r="A1024" s="150">
        <v>942</v>
      </c>
      <c r="B1024" s="150">
        <v>68</v>
      </c>
      <c r="C1024" s="90">
        <v>9</v>
      </c>
      <c r="D1024" s="111" t="s">
        <v>113</v>
      </c>
      <c r="E1024" s="210" t="s">
        <v>1024</v>
      </c>
      <c r="F1024" s="150" t="s">
        <v>32</v>
      </c>
      <c r="G1024" s="150" t="s">
        <v>15</v>
      </c>
      <c r="H1024" s="150" t="s">
        <v>146</v>
      </c>
      <c r="I1024" s="150" t="s">
        <v>1073</v>
      </c>
      <c r="J1024" s="151">
        <v>45677</v>
      </c>
      <c r="K1024" s="135" t="s">
        <v>117</v>
      </c>
      <c r="L1024" s="135">
        <v>261006194</v>
      </c>
      <c r="M1024" s="151">
        <v>45677</v>
      </c>
      <c r="N1024" s="152">
        <v>45677.5625</v>
      </c>
      <c r="O1024" s="152">
        <v>45677.5625</v>
      </c>
      <c r="P1024" s="152">
        <v>45677.569444444445</v>
      </c>
      <c r="Q1024" s="152">
        <v>45677.729166666664</v>
      </c>
      <c r="R1024" s="152" t="s">
        <v>118</v>
      </c>
      <c r="S1024" s="152" t="s">
        <v>118</v>
      </c>
      <c r="T1024" s="152">
        <v>45677.770833333336</v>
      </c>
      <c r="U1024" s="152">
        <v>45677.81527777778</v>
      </c>
      <c r="V1024" s="219">
        <f t="shared" si="604"/>
        <v>0.16666666666424135</v>
      </c>
      <c r="W1024" s="203">
        <v>0.20833333333333334</v>
      </c>
      <c r="X1024" s="219" t="str">
        <f t="shared" si="605"/>
        <v>00:00</v>
      </c>
      <c r="Y1024" s="96">
        <v>0</v>
      </c>
      <c r="Z1024" s="96">
        <v>59</v>
      </c>
      <c r="AA1024" s="96">
        <f t="shared" si="584"/>
        <v>59</v>
      </c>
      <c r="AB1024" s="97">
        <f t="shared" si="585"/>
        <v>0</v>
      </c>
      <c r="AC1024" s="97">
        <f t="shared" si="586"/>
        <v>3984.2900000000004</v>
      </c>
      <c r="AD1024" s="98">
        <v>3984.29</v>
      </c>
      <c r="AE1024" s="98">
        <v>4114.2</v>
      </c>
      <c r="AF1024" s="98">
        <v>4116.2</v>
      </c>
      <c r="AG1024" s="98">
        <f t="shared" si="587"/>
        <v>131.90999999999985</v>
      </c>
      <c r="AH1024" s="99">
        <v>1398.7</v>
      </c>
      <c r="AI1024" s="100">
        <f t="shared" si="588"/>
        <v>5757328.9399999995</v>
      </c>
      <c r="AJ1024" s="100">
        <f>(0.6*AH1024)*2</f>
        <v>1678.44</v>
      </c>
      <c r="AK1024" s="100">
        <v>0</v>
      </c>
      <c r="AL1024" s="100">
        <v>0</v>
      </c>
      <c r="AM1024" s="100">
        <v>0</v>
      </c>
      <c r="AN1024" s="100">
        <v>0</v>
      </c>
      <c r="AO1024" s="100">
        <v>0</v>
      </c>
      <c r="AP1024" s="100">
        <f t="shared" si="601"/>
        <v>287951</v>
      </c>
      <c r="AQ1024" s="101">
        <f t="shared" si="602"/>
        <v>6046959</v>
      </c>
      <c r="AR1024" s="101">
        <v>0</v>
      </c>
      <c r="AS1024" s="101">
        <v>0</v>
      </c>
      <c r="AT1024" s="102" t="s">
        <v>33</v>
      </c>
      <c r="AU1024" s="109" t="s">
        <v>118</v>
      </c>
      <c r="AV1024" s="100">
        <v>0</v>
      </c>
      <c r="AW1024" s="105">
        <v>0</v>
      </c>
      <c r="AX1024" s="216">
        <f t="shared" si="606"/>
        <v>3.2046547786793611</v>
      </c>
      <c r="AY1024" s="217">
        <f t="shared" si="607"/>
        <v>184503</v>
      </c>
      <c r="AZ1024" s="107"/>
      <c r="BA1024" s="94">
        <v>45677.5625</v>
      </c>
      <c r="BB1024" s="94">
        <v>45677.569444444445</v>
      </c>
      <c r="BC1024" s="94">
        <v>45677.569444444445</v>
      </c>
      <c r="BD1024" s="94">
        <v>45677.709722222222</v>
      </c>
      <c r="BE1024" s="95">
        <f t="shared" si="608"/>
        <v>0.14722222222189885</v>
      </c>
      <c r="BF1024" s="95">
        <v>0</v>
      </c>
      <c r="BG1024" s="95">
        <v>3.0555555555555555E-2</v>
      </c>
      <c r="BH1024" s="95">
        <f t="shared" si="609"/>
        <v>6.9444444452528842E-3</v>
      </c>
      <c r="BI1024" s="95">
        <f t="shared" si="609"/>
        <v>0</v>
      </c>
      <c r="BJ1024" s="95">
        <f t="shared" si="609"/>
        <v>0.14027777777664596</v>
      </c>
      <c r="BK1024" s="95">
        <f t="shared" si="610"/>
        <v>0.14027777777664596</v>
      </c>
      <c r="BL1024" s="95">
        <f t="shared" si="611"/>
        <v>0.1097222222210904</v>
      </c>
      <c r="BM1024" s="95" t="str">
        <f t="shared" si="612"/>
        <v>00:00</v>
      </c>
      <c r="BN1024" s="110"/>
    </row>
    <row r="1025" spans="1:66" s="8" customFormat="1" ht="12.75" customHeight="1" x14ac:dyDescent="0.25">
      <c r="A1025" s="150">
        <v>943</v>
      </c>
      <c r="B1025" s="150">
        <v>69</v>
      </c>
      <c r="C1025" s="90">
        <v>8</v>
      </c>
      <c r="D1025" s="111" t="s">
        <v>148</v>
      </c>
      <c r="E1025" s="210" t="s">
        <v>1069</v>
      </c>
      <c r="F1025" s="150" t="s">
        <v>16</v>
      </c>
      <c r="G1025" s="150" t="s">
        <v>17</v>
      </c>
      <c r="H1025" s="150" t="s">
        <v>150</v>
      </c>
      <c r="I1025" s="150" t="s">
        <v>573</v>
      </c>
      <c r="J1025" s="151">
        <v>45677</v>
      </c>
      <c r="K1025" s="135" t="s">
        <v>122</v>
      </c>
      <c r="L1025" s="135">
        <v>461000685</v>
      </c>
      <c r="M1025" s="151">
        <v>45678</v>
      </c>
      <c r="N1025" s="152">
        <v>45677.770833333336</v>
      </c>
      <c r="O1025" s="152">
        <v>45677.770833333336</v>
      </c>
      <c r="P1025" s="152">
        <v>45677.774305555555</v>
      </c>
      <c r="Q1025" s="152">
        <v>45677.947916666664</v>
      </c>
      <c r="R1025" s="152" t="s">
        <v>118</v>
      </c>
      <c r="S1025" s="152" t="s">
        <v>118</v>
      </c>
      <c r="T1025" s="152">
        <v>45678.027777777781</v>
      </c>
      <c r="U1025" s="152">
        <v>45678.166666666664</v>
      </c>
      <c r="V1025" s="219">
        <f t="shared" si="604"/>
        <v>0.17708333332848269</v>
      </c>
      <c r="W1025" s="203">
        <v>0.20833333333333334</v>
      </c>
      <c r="X1025" s="219" t="str">
        <f t="shared" si="605"/>
        <v>00:00</v>
      </c>
      <c r="Y1025" s="96">
        <v>0</v>
      </c>
      <c r="Z1025" s="96">
        <v>58</v>
      </c>
      <c r="AA1025" s="96">
        <f t="shared" si="584"/>
        <v>58</v>
      </c>
      <c r="AB1025" s="97">
        <f t="shared" si="585"/>
        <v>0</v>
      </c>
      <c r="AC1025" s="97">
        <f t="shared" si="586"/>
        <v>3980.5699999999997</v>
      </c>
      <c r="AD1025" s="98">
        <v>3980.57</v>
      </c>
      <c r="AE1025" s="98">
        <v>4036.2</v>
      </c>
      <c r="AF1025" s="98">
        <v>4042.6</v>
      </c>
      <c r="AG1025" s="98">
        <f t="shared" si="587"/>
        <v>62.029999999999745</v>
      </c>
      <c r="AH1025" s="99">
        <v>672.5</v>
      </c>
      <c r="AI1025" s="100">
        <f t="shared" si="588"/>
        <v>2718648.5</v>
      </c>
      <c r="AJ1025" s="100">
        <f>(0.4*AH1025)*2</f>
        <v>538</v>
      </c>
      <c r="AK1025" s="100">
        <v>0</v>
      </c>
      <c r="AL1025" s="100">
        <v>0</v>
      </c>
      <c r="AM1025" s="100">
        <v>0</v>
      </c>
      <c r="AN1025" s="100">
        <v>0</v>
      </c>
      <c r="AO1025" s="100">
        <v>0</v>
      </c>
      <c r="AP1025" s="100">
        <f t="shared" si="601"/>
        <v>135960</v>
      </c>
      <c r="AQ1025" s="101">
        <f t="shared" si="602"/>
        <v>2855147</v>
      </c>
      <c r="AR1025" s="101">
        <v>0</v>
      </c>
      <c r="AS1025" s="101">
        <v>0</v>
      </c>
      <c r="AT1025" s="102" t="s">
        <v>33</v>
      </c>
      <c r="AU1025" s="109" t="s">
        <v>118</v>
      </c>
      <c r="AV1025" s="100">
        <v>0</v>
      </c>
      <c r="AW1025" s="105">
        <v>0</v>
      </c>
      <c r="AX1025" s="216">
        <f t="shared" si="606"/>
        <v>1.5344085489536374</v>
      </c>
      <c r="AY1025" s="217">
        <f t="shared" si="607"/>
        <v>41716</v>
      </c>
      <c r="AZ1025" s="107"/>
      <c r="BA1025" s="94">
        <v>45677.770833333336</v>
      </c>
      <c r="BB1025" s="94">
        <v>45677.774305555555</v>
      </c>
      <c r="BC1025" s="94">
        <v>45677.774305555555</v>
      </c>
      <c r="BD1025" s="94">
        <v>45677.925000000003</v>
      </c>
      <c r="BE1025" s="95">
        <f t="shared" si="608"/>
        <v>0.15416666666715173</v>
      </c>
      <c r="BF1025" s="95">
        <v>1.2500000000000001E-2</v>
      </c>
      <c r="BG1025" s="95">
        <v>0</v>
      </c>
      <c r="BH1025" s="95">
        <f t="shared" si="609"/>
        <v>3.4722222189884633E-3</v>
      </c>
      <c r="BI1025" s="95">
        <f t="shared" si="609"/>
        <v>0</v>
      </c>
      <c r="BJ1025" s="95">
        <f t="shared" si="609"/>
        <v>0.15069444444816327</v>
      </c>
      <c r="BK1025" s="95">
        <f t="shared" si="610"/>
        <v>0.15069444444816327</v>
      </c>
      <c r="BL1025" s="95">
        <f t="shared" si="611"/>
        <v>0.13819444444816326</v>
      </c>
      <c r="BM1025" s="95" t="str">
        <f t="shared" si="612"/>
        <v>00:00</v>
      </c>
      <c r="BN1025" s="110"/>
    </row>
    <row r="1026" spans="1:66" s="8" customFormat="1" ht="12.75" customHeight="1" x14ac:dyDescent="0.25">
      <c r="A1026" s="150">
        <v>944</v>
      </c>
      <c r="B1026" s="150">
        <v>70</v>
      </c>
      <c r="C1026" s="90">
        <v>9</v>
      </c>
      <c r="D1026" s="111" t="s">
        <v>148</v>
      </c>
      <c r="E1026" s="210" t="s">
        <v>1069</v>
      </c>
      <c r="F1026" s="150" t="s">
        <v>16</v>
      </c>
      <c r="G1026" s="150" t="s">
        <v>17</v>
      </c>
      <c r="H1026" s="150" t="s">
        <v>150</v>
      </c>
      <c r="I1026" s="150" t="s">
        <v>574</v>
      </c>
      <c r="J1026" s="151">
        <v>45677</v>
      </c>
      <c r="K1026" s="135" t="s">
        <v>117</v>
      </c>
      <c r="L1026" s="135">
        <v>461000686</v>
      </c>
      <c r="M1026" s="151">
        <v>45678</v>
      </c>
      <c r="N1026" s="152">
        <v>45678.229166666664</v>
      </c>
      <c r="O1026" s="152">
        <v>45678.229166666664</v>
      </c>
      <c r="P1026" s="152">
        <v>45678.232638888891</v>
      </c>
      <c r="Q1026" s="152">
        <v>45678.375</v>
      </c>
      <c r="R1026" s="152" t="s">
        <v>118</v>
      </c>
      <c r="S1026" s="152" t="s">
        <v>118</v>
      </c>
      <c r="T1026" s="152">
        <v>45678.395833333336</v>
      </c>
      <c r="U1026" s="152">
        <v>45678.472222222219</v>
      </c>
      <c r="V1026" s="219">
        <f t="shared" si="604"/>
        <v>0.14583333333575865</v>
      </c>
      <c r="W1026" s="203">
        <v>0.20833333333333334</v>
      </c>
      <c r="X1026" s="219" t="str">
        <f t="shared" si="605"/>
        <v>00:00</v>
      </c>
      <c r="Y1026" s="96">
        <v>0</v>
      </c>
      <c r="Z1026" s="96">
        <v>57</v>
      </c>
      <c r="AA1026" s="96">
        <f t="shared" si="584"/>
        <v>57</v>
      </c>
      <c r="AB1026" s="97">
        <f t="shared" si="585"/>
        <v>0</v>
      </c>
      <c r="AC1026" s="97">
        <f t="shared" si="586"/>
        <v>3919.46</v>
      </c>
      <c r="AD1026" s="98">
        <v>3919.46</v>
      </c>
      <c r="AE1026" s="98">
        <v>3942.8</v>
      </c>
      <c r="AF1026" s="98">
        <v>3953</v>
      </c>
      <c r="AG1026" s="98">
        <f t="shared" si="587"/>
        <v>33.539999999999964</v>
      </c>
      <c r="AH1026" s="99">
        <v>672.5</v>
      </c>
      <c r="AI1026" s="100">
        <f t="shared" si="588"/>
        <v>2658392.5</v>
      </c>
      <c r="AJ1026" s="100">
        <f>(0*AH1026)*2</f>
        <v>0</v>
      </c>
      <c r="AK1026" s="100">
        <v>0</v>
      </c>
      <c r="AL1026" s="100">
        <v>23990</v>
      </c>
      <c r="AM1026" s="100">
        <v>0</v>
      </c>
      <c r="AN1026" s="100">
        <v>0</v>
      </c>
      <c r="AO1026" s="100">
        <v>0</v>
      </c>
      <c r="AP1026" s="100">
        <f t="shared" si="601"/>
        <v>134120</v>
      </c>
      <c r="AQ1026" s="101">
        <f t="shared" si="602"/>
        <v>2816503</v>
      </c>
      <c r="AR1026" s="101">
        <v>0</v>
      </c>
      <c r="AS1026" s="101">
        <v>0</v>
      </c>
      <c r="AT1026" s="102" t="s">
        <v>33</v>
      </c>
      <c r="AU1026" s="109">
        <v>4</v>
      </c>
      <c r="AV1026" s="100">
        <f>11.45-8.95</f>
        <v>2.5</v>
      </c>
      <c r="AW1026" s="105">
        <v>0</v>
      </c>
      <c r="AX1026" s="216">
        <f t="shared" si="606"/>
        <v>0.84846951682266536</v>
      </c>
      <c r="AY1026" s="217">
        <f t="shared" si="607"/>
        <v>22556</v>
      </c>
      <c r="AZ1026" s="107"/>
      <c r="BA1026" s="94">
        <v>45678.229166666664</v>
      </c>
      <c r="BB1026" s="94">
        <v>45678.232638888891</v>
      </c>
      <c r="BC1026" s="94">
        <v>45678.232638888891</v>
      </c>
      <c r="BD1026" s="94">
        <v>45678.354166666664</v>
      </c>
      <c r="BE1026" s="95">
        <f t="shared" si="608"/>
        <v>0.125</v>
      </c>
      <c r="BF1026" s="95">
        <v>0</v>
      </c>
      <c r="BG1026" s="95">
        <v>0</v>
      </c>
      <c r="BH1026" s="95">
        <f t="shared" si="609"/>
        <v>3.4722222262644209E-3</v>
      </c>
      <c r="BI1026" s="95">
        <f t="shared" si="609"/>
        <v>0</v>
      </c>
      <c r="BJ1026" s="95">
        <f t="shared" si="609"/>
        <v>0.12152777777373558</v>
      </c>
      <c r="BK1026" s="95">
        <f t="shared" si="610"/>
        <v>0.12152777777373558</v>
      </c>
      <c r="BL1026" s="95">
        <f t="shared" si="611"/>
        <v>0.12152777777373558</v>
      </c>
      <c r="BM1026" s="95" t="str">
        <f t="shared" si="612"/>
        <v>00:00</v>
      </c>
      <c r="BN1026" s="110"/>
    </row>
    <row r="1027" spans="1:66" s="8" customFormat="1" ht="12.75" customHeight="1" x14ac:dyDescent="0.25">
      <c r="A1027" s="150">
        <v>945</v>
      </c>
      <c r="B1027" s="150">
        <v>71</v>
      </c>
      <c r="C1027" s="90">
        <v>10</v>
      </c>
      <c r="D1027" s="111" t="s">
        <v>148</v>
      </c>
      <c r="E1027" s="210" t="s">
        <v>1069</v>
      </c>
      <c r="F1027" s="150" t="s">
        <v>16</v>
      </c>
      <c r="G1027" s="150" t="s">
        <v>17</v>
      </c>
      <c r="H1027" s="150" t="s">
        <v>150</v>
      </c>
      <c r="I1027" s="150" t="s">
        <v>576</v>
      </c>
      <c r="J1027" s="151">
        <v>45677</v>
      </c>
      <c r="K1027" s="135" t="s">
        <v>122</v>
      </c>
      <c r="L1027" s="135">
        <v>461000687</v>
      </c>
      <c r="M1027" s="151">
        <v>45678</v>
      </c>
      <c r="N1027" s="152">
        <v>45678.34375</v>
      </c>
      <c r="O1027" s="152">
        <v>45678.34375</v>
      </c>
      <c r="P1027" s="152">
        <v>45678.347222222219</v>
      </c>
      <c r="Q1027" s="152">
        <v>45678.53125</v>
      </c>
      <c r="R1027" s="152" t="s">
        <v>118</v>
      </c>
      <c r="S1027" s="152" t="s">
        <v>118</v>
      </c>
      <c r="T1027" s="152">
        <v>45678.666666666664</v>
      </c>
      <c r="U1027" s="152">
        <v>45678.746527777781</v>
      </c>
      <c r="V1027" s="219">
        <f t="shared" si="604"/>
        <v>0.1875</v>
      </c>
      <c r="W1027" s="203">
        <v>0.20833333333333334</v>
      </c>
      <c r="X1027" s="219" t="str">
        <f t="shared" si="605"/>
        <v>00:00</v>
      </c>
      <c r="Y1027" s="96">
        <v>0</v>
      </c>
      <c r="Z1027" s="96">
        <v>58</v>
      </c>
      <c r="AA1027" s="96">
        <f t="shared" si="584"/>
        <v>58</v>
      </c>
      <c r="AB1027" s="97">
        <f t="shared" si="585"/>
        <v>0</v>
      </c>
      <c r="AC1027" s="97">
        <f t="shared" si="586"/>
        <v>4011.6</v>
      </c>
      <c r="AD1027" s="98">
        <v>4011.6</v>
      </c>
      <c r="AE1027" s="98">
        <v>4045.9</v>
      </c>
      <c r="AF1027" s="98">
        <v>4054.4</v>
      </c>
      <c r="AG1027" s="98">
        <f t="shared" si="587"/>
        <v>42.800000000000182</v>
      </c>
      <c r="AH1027" s="99">
        <v>672.5</v>
      </c>
      <c r="AI1027" s="100">
        <f t="shared" si="588"/>
        <v>2726584</v>
      </c>
      <c r="AJ1027" s="100">
        <f>(0*AH1027)*2</f>
        <v>0</v>
      </c>
      <c r="AK1027" s="100">
        <v>0</v>
      </c>
      <c r="AL1027" s="100">
        <v>24140</v>
      </c>
      <c r="AM1027" s="100">
        <v>0</v>
      </c>
      <c r="AN1027" s="100">
        <v>0</v>
      </c>
      <c r="AO1027" s="100">
        <v>0</v>
      </c>
      <c r="AP1027" s="100">
        <f t="shared" si="601"/>
        <v>137537</v>
      </c>
      <c r="AQ1027" s="101">
        <f t="shared" si="602"/>
        <v>2888261</v>
      </c>
      <c r="AR1027" s="101">
        <v>0</v>
      </c>
      <c r="AS1027" s="101">
        <v>0</v>
      </c>
      <c r="AT1027" s="102" t="s">
        <v>33</v>
      </c>
      <c r="AU1027" s="109">
        <v>4</v>
      </c>
      <c r="AV1027" s="100">
        <f>9.83-7.33</f>
        <v>2.5</v>
      </c>
      <c r="AW1027" s="105">
        <v>0</v>
      </c>
      <c r="AX1027" s="216">
        <f t="shared" si="606"/>
        <v>1.0556432517758529</v>
      </c>
      <c r="AY1027" s="217">
        <f t="shared" si="607"/>
        <v>28784</v>
      </c>
      <c r="AZ1027" s="107"/>
      <c r="BA1027" s="94">
        <v>45678.34375</v>
      </c>
      <c r="BB1027" s="94">
        <v>45678.347222222219</v>
      </c>
      <c r="BC1027" s="94">
        <v>45678.361111111109</v>
      </c>
      <c r="BD1027" s="94">
        <v>45678.479166666664</v>
      </c>
      <c r="BE1027" s="95">
        <f t="shared" si="608"/>
        <v>0.13541666666424135</v>
      </c>
      <c r="BF1027" s="95">
        <v>0</v>
      </c>
      <c r="BG1027" s="95">
        <v>1.3888888888888888E-2</v>
      </c>
      <c r="BH1027" s="95">
        <f t="shared" si="609"/>
        <v>3.4722222189884633E-3</v>
      </c>
      <c r="BI1027" s="95">
        <f t="shared" si="609"/>
        <v>1.3888888890505768E-2</v>
      </c>
      <c r="BJ1027" s="95">
        <f t="shared" si="609"/>
        <v>0.11805555555474712</v>
      </c>
      <c r="BK1027" s="95">
        <f t="shared" si="610"/>
        <v>0.13194444444525288</v>
      </c>
      <c r="BL1027" s="95">
        <f t="shared" si="611"/>
        <v>0.11805555555636399</v>
      </c>
      <c r="BM1027" s="95" t="str">
        <f t="shared" si="612"/>
        <v>00:00</v>
      </c>
      <c r="BN1027" s="110"/>
    </row>
    <row r="1028" spans="1:66" s="8" customFormat="1" ht="12.75" customHeight="1" x14ac:dyDescent="0.25">
      <c r="A1028" s="111">
        <v>946</v>
      </c>
      <c r="B1028" s="111">
        <v>72</v>
      </c>
      <c r="C1028" s="90">
        <v>19</v>
      </c>
      <c r="D1028" s="111" t="s">
        <v>148</v>
      </c>
      <c r="E1028" s="210" t="s">
        <v>1051</v>
      </c>
      <c r="F1028" s="111" t="s">
        <v>19</v>
      </c>
      <c r="G1028" s="111" t="s">
        <v>17</v>
      </c>
      <c r="H1028" s="111" t="s">
        <v>150</v>
      </c>
      <c r="I1028" s="111" t="s">
        <v>578</v>
      </c>
      <c r="J1028" s="113">
        <v>45678</v>
      </c>
      <c r="K1028" s="96" t="s">
        <v>117</v>
      </c>
      <c r="L1028" s="135">
        <v>461000688</v>
      </c>
      <c r="M1028" s="113">
        <v>45679</v>
      </c>
      <c r="N1028" s="114">
        <v>45678.666666666664</v>
      </c>
      <c r="O1028" s="114">
        <v>45678.666666666664</v>
      </c>
      <c r="P1028" s="114">
        <v>45678.670138888891</v>
      </c>
      <c r="Q1028" s="114">
        <v>45678.833333333336</v>
      </c>
      <c r="R1028" s="114" t="s">
        <v>118</v>
      </c>
      <c r="S1028" s="114" t="s">
        <v>118</v>
      </c>
      <c r="T1028" s="114">
        <v>45678.854166666664</v>
      </c>
      <c r="U1028" s="114">
        <v>45679.038194444445</v>
      </c>
      <c r="V1028" s="165">
        <f t="shared" si="604"/>
        <v>0.16666666667151731</v>
      </c>
      <c r="W1028" s="203">
        <v>0.20833333333333334</v>
      </c>
      <c r="X1028" s="165" t="str">
        <f t="shared" si="605"/>
        <v>00:00</v>
      </c>
      <c r="Y1028" s="96">
        <v>0</v>
      </c>
      <c r="Z1028" s="96">
        <v>58</v>
      </c>
      <c r="AA1028" s="96">
        <f t="shared" si="584"/>
        <v>58</v>
      </c>
      <c r="AB1028" s="97">
        <f t="shared" si="585"/>
        <v>0</v>
      </c>
      <c r="AC1028" s="97">
        <f t="shared" si="586"/>
        <v>4053.9700000000003</v>
      </c>
      <c r="AD1028" s="98">
        <f>4053.97</f>
        <v>4053.97</v>
      </c>
      <c r="AE1028" s="98">
        <v>4049.7</v>
      </c>
      <c r="AF1028" s="98">
        <v>4073.2</v>
      </c>
      <c r="AG1028" s="98">
        <f t="shared" si="587"/>
        <v>19.230000000000018</v>
      </c>
      <c r="AH1028" s="99">
        <v>672.5</v>
      </c>
      <c r="AI1028" s="100">
        <f t="shared" si="588"/>
        <v>2739227</v>
      </c>
      <c r="AJ1028" s="100">
        <f>(0*AH1028)*2</f>
        <v>0</v>
      </c>
      <c r="AK1028" s="100">
        <v>0</v>
      </c>
      <c r="AL1028" s="100">
        <v>24140</v>
      </c>
      <c r="AM1028" s="100">
        <v>0</v>
      </c>
      <c r="AN1028" s="100">
        <v>0</v>
      </c>
      <c r="AO1028" s="100">
        <v>0</v>
      </c>
      <c r="AP1028" s="100">
        <f t="shared" si="601"/>
        <v>138169</v>
      </c>
      <c r="AQ1028" s="101">
        <f t="shared" si="602"/>
        <v>2901536</v>
      </c>
      <c r="AR1028" s="101">
        <v>0</v>
      </c>
      <c r="AS1028" s="101">
        <v>0</v>
      </c>
      <c r="AT1028" s="102" t="s">
        <v>33</v>
      </c>
      <c r="AU1028" s="109">
        <v>10</v>
      </c>
      <c r="AV1028" s="100">
        <f>28.5-22</f>
        <v>6.5</v>
      </c>
      <c r="AW1028" s="105">
        <v>0</v>
      </c>
      <c r="AX1028" s="216">
        <f t="shared" si="606"/>
        <v>0.47211038004517381</v>
      </c>
      <c r="AY1028" s="217">
        <f t="shared" si="607"/>
        <v>12933</v>
      </c>
      <c r="AZ1028" s="107"/>
      <c r="BA1028" s="94">
        <v>45678.666666666664</v>
      </c>
      <c r="BB1028" s="94">
        <v>45678.670138888891</v>
      </c>
      <c r="BC1028" s="94">
        <v>45678.670138888891</v>
      </c>
      <c r="BD1028" s="94">
        <v>45678.798611111109</v>
      </c>
      <c r="BE1028" s="95">
        <f t="shared" si="608"/>
        <v>0.13194444444525288</v>
      </c>
      <c r="BF1028" s="95">
        <v>0</v>
      </c>
      <c r="BG1028" s="95">
        <v>0</v>
      </c>
      <c r="BH1028" s="95">
        <f t="shared" si="609"/>
        <v>3.4722222262644209E-3</v>
      </c>
      <c r="BI1028" s="95">
        <f t="shared" si="609"/>
        <v>0</v>
      </c>
      <c r="BJ1028" s="95">
        <f t="shared" si="609"/>
        <v>0.12847222221898846</v>
      </c>
      <c r="BK1028" s="95">
        <f t="shared" si="610"/>
        <v>0.12847222221898846</v>
      </c>
      <c r="BL1028" s="95">
        <f t="shared" si="611"/>
        <v>0.12847222221898846</v>
      </c>
      <c r="BM1028" s="95" t="str">
        <f t="shared" si="612"/>
        <v>00:00</v>
      </c>
      <c r="BN1028" s="110"/>
    </row>
    <row r="1029" spans="1:66" s="8" customFormat="1" ht="12.75" customHeight="1" x14ac:dyDescent="0.25">
      <c r="A1029" s="150">
        <v>947</v>
      </c>
      <c r="B1029" s="150">
        <v>73</v>
      </c>
      <c r="C1029" s="90">
        <v>10</v>
      </c>
      <c r="D1029" s="111" t="s">
        <v>113</v>
      </c>
      <c r="E1029" s="210" t="s">
        <v>1024</v>
      </c>
      <c r="F1029" s="150" t="s">
        <v>32</v>
      </c>
      <c r="G1029" s="150" t="s">
        <v>15</v>
      </c>
      <c r="H1029" s="150" t="s">
        <v>135</v>
      </c>
      <c r="I1029" s="150" t="s">
        <v>1074</v>
      </c>
      <c r="J1029" s="151">
        <v>45679</v>
      </c>
      <c r="K1029" s="135" t="s">
        <v>117</v>
      </c>
      <c r="L1029" s="135">
        <v>261006203</v>
      </c>
      <c r="M1029" s="113">
        <v>45679</v>
      </c>
      <c r="N1029" s="152">
        <v>45679.15625</v>
      </c>
      <c r="O1029" s="152">
        <v>45679.15625</v>
      </c>
      <c r="P1029" s="152">
        <v>45679.159722222219</v>
      </c>
      <c r="Q1029" s="152">
        <v>45679.333333333336</v>
      </c>
      <c r="R1029" s="152" t="s">
        <v>118</v>
      </c>
      <c r="S1029" s="152" t="s">
        <v>118</v>
      </c>
      <c r="T1029" s="152">
        <v>45679.354166666664</v>
      </c>
      <c r="U1029" s="152">
        <v>45679.42083333333</v>
      </c>
      <c r="V1029" s="219">
        <f t="shared" si="604"/>
        <v>0.17708333333575865</v>
      </c>
      <c r="W1029" s="203">
        <v>0.20833333333333334</v>
      </c>
      <c r="X1029" s="219" t="str">
        <f t="shared" si="605"/>
        <v>00:00</v>
      </c>
      <c r="Y1029" s="96">
        <v>0</v>
      </c>
      <c r="Z1029" s="96">
        <v>58</v>
      </c>
      <c r="AA1029" s="96">
        <f t="shared" si="584"/>
        <v>58</v>
      </c>
      <c r="AB1029" s="97">
        <f t="shared" si="585"/>
        <v>0</v>
      </c>
      <c r="AC1029" s="97">
        <f t="shared" si="586"/>
        <v>3868.8099999999995</v>
      </c>
      <c r="AD1029" s="98">
        <v>3868.81</v>
      </c>
      <c r="AE1029" s="98">
        <v>4045.1</v>
      </c>
      <c r="AF1029" s="98">
        <v>4047.2</v>
      </c>
      <c r="AG1029" s="98">
        <f t="shared" si="587"/>
        <v>178.38999999999987</v>
      </c>
      <c r="AH1029" s="99">
        <v>797.2</v>
      </c>
      <c r="AI1029" s="100">
        <f t="shared" si="588"/>
        <v>3226427.84</v>
      </c>
      <c r="AJ1029" s="100">
        <f>(0.2*AH1029)*2</f>
        <v>318.88000000000005</v>
      </c>
      <c r="AK1029" s="100">
        <v>0</v>
      </c>
      <c r="AL1029" s="100">
        <v>0</v>
      </c>
      <c r="AM1029" s="100">
        <v>0</v>
      </c>
      <c r="AN1029" s="100">
        <v>0</v>
      </c>
      <c r="AO1029" s="100">
        <v>0</v>
      </c>
      <c r="AP1029" s="100">
        <f t="shared" si="601"/>
        <v>161338</v>
      </c>
      <c r="AQ1029" s="101">
        <f t="shared" si="602"/>
        <v>3388085</v>
      </c>
      <c r="AR1029" s="101">
        <v>0</v>
      </c>
      <c r="AS1029" s="101">
        <v>0</v>
      </c>
      <c r="AT1029" s="102" t="s">
        <v>33</v>
      </c>
      <c r="AU1029" s="109" t="s">
        <v>118</v>
      </c>
      <c r="AV1029" s="100">
        <v>0</v>
      </c>
      <c r="AW1029" s="105">
        <v>0</v>
      </c>
      <c r="AX1029" s="216">
        <f t="shared" si="606"/>
        <v>4.4077386835342924</v>
      </c>
      <c r="AY1029" s="217">
        <f t="shared" si="607"/>
        <v>142213</v>
      </c>
      <c r="AZ1029" s="107"/>
      <c r="BA1029" s="94">
        <v>45679.15625</v>
      </c>
      <c r="BB1029" s="94">
        <v>45679.159722222219</v>
      </c>
      <c r="BC1029" s="94">
        <v>45679.159722222219</v>
      </c>
      <c r="BD1029" s="94">
        <v>45679.3</v>
      </c>
      <c r="BE1029" s="95">
        <f t="shared" si="608"/>
        <v>0.14375000000291038</v>
      </c>
      <c r="BF1029" s="95">
        <v>0</v>
      </c>
      <c r="BG1029" s="95">
        <v>3.125E-2</v>
      </c>
      <c r="BH1029" s="95">
        <f t="shared" si="609"/>
        <v>3.4722222189884633E-3</v>
      </c>
      <c r="BI1029" s="95">
        <f t="shared" si="609"/>
        <v>0</v>
      </c>
      <c r="BJ1029" s="95">
        <f t="shared" si="609"/>
        <v>0.14027777778392192</v>
      </c>
      <c r="BK1029" s="95">
        <f t="shared" si="610"/>
        <v>0.14027777778392192</v>
      </c>
      <c r="BL1029" s="95">
        <f t="shared" si="611"/>
        <v>0.10902777778392192</v>
      </c>
      <c r="BM1029" s="95" t="str">
        <f t="shared" si="612"/>
        <v>00:00</v>
      </c>
      <c r="BN1029" s="110"/>
    </row>
    <row r="1030" spans="1:66" s="8" customFormat="1" ht="12.75" customHeight="1" x14ac:dyDescent="0.25">
      <c r="A1030" s="150">
        <v>948</v>
      </c>
      <c r="B1030" s="150">
        <v>74</v>
      </c>
      <c r="C1030" s="90">
        <v>11</v>
      </c>
      <c r="D1030" s="111" t="s">
        <v>148</v>
      </c>
      <c r="E1030" s="210" t="s">
        <v>1069</v>
      </c>
      <c r="F1030" s="150" t="s">
        <v>16</v>
      </c>
      <c r="G1030" s="150" t="s">
        <v>17</v>
      </c>
      <c r="H1030" s="150" t="s">
        <v>150</v>
      </c>
      <c r="I1030" s="150" t="s">
        <v>579</v>
      </c>
      <c r="J1030" s="151">
        <v>45678</v>
      </c>
      <c r="K1030" s="135" t="s">
        <v>122</v>
      </c>
      <c r="L1030" s="135">
        <v>461000689</v>
      </c>
      <c r="M1030" s="113">
        <v>45679</v>
      </c>
      <c r="N1030" s="152">
        <v>45679.333333333336</v>
      </c>
      <c r="O1030" s="152">
        <v>45679.333333333336</v>
      </c>
      <c r="P1030" s="152">
        <v>45679.336805555555</v>
      </c>
      <c r="Q1030" s="152">
        <v>45679.5</v>
      </c>
      <c r="R1030" s="152" t="s">
        <v>118</v>
      </c>
      <c r="S1030" s="152" t="s">
        <v>118</v>
      </c>
      <c r="T1030" s="152">
        <v>45679.6875</v>
      </c>
      <c r="U1030" s="152">
        <v>45679.772916666669</v>
      </c>
      <c r="V1030" s="219">
        <f t="shared" si="604"/>
        <v>0.16666666666424135</v>
      </c>
      <c r="W1030" s="203">
        <v>0.20833333333333334</v>
      </c>
      <c r="X1030" s="219" t="str">
        <f t="shared" si="605"/>
        <v>00:00</v>
      </c>
      <c r="Y1030" s="96">
        <v>0</v>
      </c>
      <c r="Z1030" s="96">
        <v>58</v>
      </c>
      <c r="AA1030" s="96">
        <f t="shared" si="584"/>
        <v>58</v>
      </c>
      <c r="AB1030" s="97">
        <f t="shared" si="585"/>
        <v>0</v>
      </c>
      <c r="AC1030" s="97">
        <f t="shared" si="586"/>
        <v>4029.4699999999993</v>
      </c>
      <c r="AD1030" s="98">
        <v>4029.47</v>
      </c>
      <c r="AE1030" s="98">
        <v>4058</v>
      </c>
      <c r="AF1030" s="98">
        <v>4067</v>
      </c>
      <c r="AG1030" s="98">
        <f t="shared" si="587"/>
        <v>37.5300000000002</v>
      </c>
      <c r="AH1030" s="99">
        <v>672.5</v>
      </c>
      <c r="AI1030" s="100">
        <f t="shared" si="588"/>
        <v>2735057.5</v>
      </c>
      <c r="AJ1030" s="100">
        <f>(0.8*AH1030)*2</f>
        <v>1076</v>
      </c>
      <c r="AK1030" s="100">
        <v>0</v>
      </c>
      <c r="AL1030" s="100">
        <v>0</v>
      </c>
      <c r="AM1030" s="100">
        <v>0</v>
      </c>
      <c r="AN1030" s="100">
        <v>0</v>
      </c>
      <c r="AO1030" s="100">
        <v>0</v>
      </c>
      <c r="AP1030" s="100">
        <f t="shared" si="601"/>
        <v>136807</v>
      </c>
      <c r="AQ1030" s="101">
        <f t="shared" si="602"/>
        <v>2872941</v>
      </c>
      <c r="AR1030" s="101">
        <v>0</v>
      </c>
      <c r="AS1030" s="101">
        <v>0</v>
      </c>
      <c r="AT1030" s="102" t="s">
        <v>33</v>
      </c>
      <c r="AU1030" s="109" t="s">
        <v>118</v>
      </c>
      <c r="AV1030" s="100">
        <v>0</v>
      </c>
      <c r="AW1030" s="105">
        <v>0</v>
      </c>
      <c r="AX1030" s="216">
        <f t="shared" si="606"/>
        <v>0.92279321367101552</v>
      </c>
      <c r="AY1030" s="217">
        <f t="shared" si="607"/>
        <v>25239</v>
      </c>
      <c r="AZ1030" s="107"/>
      <c r="BA1030" s="94">
        <v>45679.333333333336</v>
      </c>
      <c r="BB1030" s="94">
        <v>45679.336805555555</v>
      </c>
      <c r="BC1030" s="94">
        <v>45679.336805555555</v>
      </c>
      <c r="BD1030" s="94">
        <v>45679.465277777781</v>
      </c>
      <c r="BE1030" s="95">
        <f t="shared" si="608"/>
        <v>0.13194444444525288</v>
      </c>
      <c r="BF1030" s="95">
        <v>0</v>
      </c>
      <c r="BG1030" s="95">
        <v>0</v>
      </c>
      <c r="BH1030" s="95">
        <f t="shared" si="609"/>
        <v>3.4722222189884633E-3</v>
      </c>
      <c r="BI1030" s="95">
        <f t="shared" si="609"/>
        <v>0</v>
      </c>
      <c r="BJ1030" s="95">
        <f t="shared" si="609"/>
        <v>0.12847222222626442</v>
      </c>
      <c r="BK1030" s="95">
        <f t="shared" si="610"/>
        <v>0.12847222222626442</v>
      </c>
      <c r="BL1030" s="95">
        <f t="shared" si="611"/>
        <v>0.12847222222626442</v>
      </c>
      <c r="BM1030" s="95" t="str">
        <f t="shared" si="612"/>
        <v>00:00</v>
      </c>
      <c r="BN1030" s="110"/>
    </row>
    <row r="1031" spans="1:66" s="8" customFormat="1" ht="12.75" customHeight="1" x14ac:dyDescent="0.25">
      <c r="A1031" s="150">
        <v>949</v>
      </c>
      <c r="B1031" s="150">
        <v>75</v>
      </c>
      <c r="C1031" s="90">
        <v>12</v>
      </c>
      <c r="D1031" s="111" t="s">
        <v>148</v>
      </c>
      <c r="E1031" s="210" t="s">
        <v>1069</v>
      </c>
      <c r="F1031" s="150" t="s">
        <v>16</v>
      </c>
      <c r="G1031" s="150" t="s">
        <v>17</v>
      </c>
      <c r="H1031" s="150" t="s">
        <v>150</v>
      </c>
      <c r="I1031" s="150" t="s">
        <v>580</v>
      </c>
      <c r="J1031" s="151">
        <v>45678</v>
      </c>
      <c r="K1031" s="135" t="s">
        <v>117</v>
      </c>
      <c r="L1031" s="135">
        <v>461000690</v>
      </c>
      <c r="M1031" s="113">
        <v>45680</v>
      </c>
      <c r="N1031" s="152">
        <v>45679.729166666664</v>
      </c>
      <c r="O1031" s="152">
        <v>45679.729166666664</v>
      </c>
      <c r="P1031" s="152">
        <v>45679.732638888891</v>
      </c>
      <c r="Q1031" s="152">
        <v>45679.90625</v>
      </c>
      <c r="R1031" s="152" t="s">
        <v>118</v>
      </c>
      <c r="S1031" s="152" t="s">
        <v>118</v>
      </c>
      <c r="T1031" s="152">
        <v>45680.052083333336</v>
      </c>
      <c r="U1031" s="152">
        <v>45680.173611111109</v>
      </c>
      <c r="V1031" s="219">
        <f t="shared" si="604"/>
        <v>0.17708333333575865</v>
      </c>
      <c r="W1031" s="203">
        <v>0.20833333333333334</v>
      </c>
      <c r="X1031" s="219" t="str">
        <f t="shared" si="605"/>
        <v>00:00</v>
      </c>
      <c r="Y1031" s="96">
        <v>0</v>
      </c>
      <c r="Z1031" s="96">
        <v>58</v>
      </c>
      <c r="AA1031" s="96">
        <f t="shared" si="584"/>
        <v>58</v>
      </c>
      <c r="AB1031" s="97">
        <f t="shared" si="585"/>
        <v>0</v>
      </c>
      <c r="AC1031" s="97">
        <f t="shared" si="586"/>
        <v>4040.68</v>
      </c>
      <c r="AD1031" s="98">
        <v>4040.68</v>
      </c>
      <c r="AE1031" s="98">
        <v>4027</v>
      </c>
      <c r="AF1031" s="98">
        <v>4058</v>
      </c>
      <c r="AG1031" s="98">
        <f t="shared" si="587"/>
        <v>17.320000000000164</v>
      </c>
      <c r="AH1031" s="99">
        <v>672.5</v>
      </c>
      <c r="AI1031" s="100">
        <f t="shared" si="588"/>
        <v>2729005</v>
      </c>
      <c r="AJ1031" s="100">
        <f>(0*AH1031)*2</f>
        <v>0</v>
      </c>
      <c r="AK1031" s="100">
        <v>0</v>
      </c>
      <c r="AL1031" s="100">
        <v>8700</v>
      </c>
      <c r="AM1031" s="100">
        <v>0</v>
      </c>
      <c r="AN1031" s="100">
        <v>0</v>
      </c>
      <c r="AO1031" s="100">
        <v>0</v>
      </c>
      <c r="AP1031" s="100">
        <f t="shared" si="601"/>
        <v>136886</v>
      </c>
      <c r="AQ1031" s="101">
        <f t="shared" si="602"/>
        <v>2874591</v>
      </c>
      <c r="AR1031" s="101">
        <v>0</v>
      </c>
      <c r="AS1031" s="101">
        <v>0</v>
      </c>
      <c r="AT1031" s="102" t="s">
        <v>33</v>
      </c>
      <c r="AU1031" s="109">
        <v>15</v>
      </c>
      <c r="AV1031" s="100">
        <f>35.59-27.09</f>
        <v>8.5000000000000036</v>
      </c>
      <c r="AW1031" s="105">
        <v>0</v>
      </c>
      <c r="AX1031" s="216">
        <f t="shared" si="606"/>
        <v>0.42681123706259638</v>
      </c>
      <c r="AY1031" s="217">
        <f t="shared" si="607"/>
        <v>11648</v>
      </c>
      <c r="AZ1031" s="107"/>
      <c r="BA1031" s="94">
        <v>45679.729166666664</v>
      </c>
      <c r="BB1031" s="94">
        <v>45679.732638888891</v>
      </c>
      <c r="BC1031" s="94">
        <v>45679.746527777781</v>
      </c>
      <c r="BD1031" s="94">
        <v>45679.868055555555</v>
      </c>
      <c r="BE1031" s="95">
        <f t="shared" si="608"/>
        <v>0.13888888889050577</v>
      </c>
      <c r="BF1031" s="95">
        <v>1.3888888888888888E-2</v>
      </c>
      <c r="BG1031" s="95">
        <v>0</v>
      </c>
      <c r="BH1031" s="95">
        <f t="shared" si="609"/>
        <v>3.4722222262644209E-3</v>
      </c>
      <c r="BI1031" s="95">
        <f t="shared" si="609"/>
        <v>1.3888888890505768E-2</v>
      </c>
      <c r="BJ1031" s="95">
        <f t="shared" si="609"/>
        <v>0.12152777777373558</v>
      </c>
      <c r="BK1031" s="95">
        <f t="shared" si="610"/>
        <v>0.13541666666424135</v>
      </c>
      <c r="BL1031" s="95">
        <f t="shared" si="611"/>
        <v>0.12152777777535245</v>
      </c>
      <c r="BM1031" s="95" t="str">
        <f t="shared" si="612"/>
        <v>00:00</v>
      </c>
      <c r="BN1031" s="110"/>
    </row>
    <row r="1032" spans="1:66" s="8" customFormat="1" ht="12.75" customHeight="1" x14ac:dyDescent="0.25">
      <c r="A1032" s="150">
        <v>950</v>
      </c>
      <c r="B1032" s="150">
        <v>76</v>
      </c>
      <c r="C1032" s="90">
        <v>13</v>
      </c>
      <c r="D1032" s="111" t="s">
        <v>148</v>
      </c>
      <c r="E1032" s="210" t="s">
        <v>1069</v>
      </c>
      <c r="F1032" s="150" t="s">
        <v>16</v>
      </c>
      <c r="G1032" s="150" t="s">
        <v>17</v>
      </c>
      <c r="H1032" s="150" t="s">
        <v>150</v>
      </c>
      <c r="I1032" s="150" t="s">
        <v>582</v>
      </c>
      <c r="J1032" s="151">
        <v>45678</v>
      </c>
      <c r="K1032" s="135" t="s">
        <v>122</v>
      </c>
      <c r="L1032" s="135">
        <v>461000691</v>
      </c>
      <c r="M1032" s="113">
        <v>45680</v>
      </c>
      <c r="N1032" s="152">
        <v>45679.833333333336</v>
      </c>
      <c r="O1032" s="152">
        <v>45679.833333333336</v>
      </c>
      <c r="P1032" s="152">
        <v>45679.836805555555</v>
      </c>
      <c r="Q1032" s="152">
        <v>45680.020833333336</v>
      </c>
      <c r="R1032" s="152" t="s">
        <v>118</v>
      </c>
      <c r="S1032" s="152" t="s">
        <v>118</v>
      </c>
      <c r="T1032" s="152">
        <v>45680.104166666664</v>
      </c>
      <c r="U1032" s="152">
        <v>45680.310416666667</v>
      </c>
      <c r="V1032" s="219">
        <f t="shared" si="604"/>
        <v>0.1875</v>
      </c>
      <c r="W1032" s="203">
        <v>0.20833333333333334</v>
      </c>
      <c r="X1032" s="219" t="str">
        <f t="shared" si="605"/>
        <v>00:00</v>
      </c>
      <c r="Y1032" s="96">
        <v>0</v>
      </c>
      <c r="Z1032" s="96">
        <v>58</v>
      </c>
      <c r="AA1032" s="96">
        <f t="shared" si="584"/>
        <v>58</v>
      </c>
      <c r="AB1032" s="97">
        <f t="shared" si="585"/>
        <v>0</v>
      </c>
      <c r="AC1032" s="97">
        <f t="shared" si="586"/>
        <v>4001.99</v>
      </c>
      <c r="AD1032" s="98">
        <v>4001.99</v>
      </c>
      <c r="AE1032" s="98">
        <v>4044.1</v>
      </c>
      <c r="AF1032" s="98">
        <v>4052.6</v>
      </c>
      <c r="AG1032" s="98">
        <f t="shared" si="587"/>
        <v>50.610000000000127</v>
      </c>
      <c r="AH1032" s="99">
        <v>672.5</v>
      </c>
      <c r="AI1032" s="100">
        <f t="shared" si="588"/>
        <v>2725373.5</v>
      </c>
      <c r="AJ1032" s="100">
        <f>(1*AH1032)*2</f>
        <v>1345</v>
      </c>
      <c r="AK1032" s="100">
        <v>0</v>
      </c>
      <c r="AL1032" s="100">
        <v>15440</v>
      </c>
      <c r="AM1032" s="100">
        <v>0</v>
      </c>
      <c r="AN1032" s="100">
        <v>0</v>
      </c>
      <c r="AO1032" s="100">
        <v>0</v>
      </c>
      <c r="AP1032" s="100">
        <f t="shared" si="601"/>
        <v>137108</v>
      </c>
      <c r="AQ1032" s="101">
        <f t="shared" si="602"/>
        <v>2879267</v>
      </c>
      <c r="AR1032" s="101">
        <v>0</v>
      </c>
      <c r="AS1032" s="101">
        <v>0</v>
      </c>
      <c r="AT1032" s="102" t="s">
        <v>33</v>
      </c>
      <c r="AU1032" s="109" t="s">
        <v>118</v>
      </c>
      <c r="AV1032" s="100">
        <v>0</v>
      </c>
      <c r="AW1032" s="105">
        <v>0</v>
      </c>
      <c r="AX1032" s="216">
        <f t="shared" si="606"/>
        <v>1.2488279129447795</v>
      </c>
      <c r="AY1032" s="217">
        <f t="shared" si="607"/>
        <v>34036</v>
      </c>
      <c r="AZ1032" s="107"/>
      <c r="BA1032" s="94">
        <v>45679.833333333336</v>
      </c>
      <c r="BB1032" s="94">
        <v>45679.836805555555</v>
      </c>
      <c r="BC1032" s="94">
        <v>45679.951388888891</v>
      </c>
      <c r="BD1032" s="94">
        <v>45680.017361111109</v>
      </c>
      <c r="BE1032" s="95">
        <f t="shared" si="608"/>
        <v>0.18402777777373558</v>
      </c>
      <c r="BF1032" s="95">
        <v>2.2222222222222223E-2</v>
      </c>
      <c r="BG1032" s="95">
        <v>3.125E-2</v>
      </c>
      <c r="BH1032" s="95">
        <f t="shared" si="609"/>
        <v>3.4722222189884633E-3</v>
      </c>
      <c r="BI1032" s="95">
        <f t="shared" si="609"/>
        <v>0.11458333333575865</v>
      </c>
      <c r="BJ1032" s="95">
        <f t="shared" si="609"/>
        <v>6.5972222218988463E-2</v>
      </c>
      <c r="BK1032" s="95">
        <f t="shared" si="610"/>
        <v>0.18055555555474712</v>
      </c>
      <c r="BL1032" s="95">
        <f t="shared" si="611"/>
        <v>0.12708333333252489</v>
      </c>
      <c r="BM1032" s="95" t="str">
        <f t="shared" si="612"/>
        <v>00:00</v>
      </c>
      <c r="BN1032" s="110"/>
    </row>
    <row r="1033" spans="1:66" s="8" customFormat="1" ht="12.75" customHeight="1" x14ac:dyDescent="0.25">
      <c r="A1033" s="150">
        <v>951</v>
      </c>
      <c r="B1033" s="150">
        <v>77</v>
      </c>
      <c r="C1033" s="90">
        <v>10</v>
      </c>
      <c r="D1033" s="111" t="s">
        <v>113</v>
      </c>
      <c r="E1033" s="210" t="s">
        <v>948</v>
      </c>
      <c r="F1033" s="150" t="s">
        <v>14</v>
      </c>
      <c r="G1033" s="150" t="s">
        <v>15</v>
      </c>
      <c r="H1033" s="150" t="s">
        <v>779</v>
      </c>
      <c r="I1033" s="150" t="s">
        <v>678</v>
      </c>
      <c r="J1033" s="151">
        <v>45680</v>
      </c>
      <c r="K1033" s="135" t="s">
        <v>117</v>
      </c>
      <c r="L1033" s="135">
        <v>281000276</v>
      </c>
      <c r="M1033" s="151">
        <v>45680</v>
      </c>
      <c r="N1033" s="152">
        <v>45680.208333333336</v>
      </c>
      <c r="O1033" s="152">
        <v>45680.197916666664</v>
      </c>
      <c r="P1033" s="152">
        <v>45680.215277777781</v>
      </c>
      <c r="Q1033" s="152">
        <v>45680.395833333336</v>
      </c>
      <c r="R1033" s="152">
        <v>45680.208333333336</v>
      </c>
      <c r="S1033" s="152" t="s">
        <v>118</v>
      </c>
      <c r="T1033" s="152">
        <v>45680.46875</v>
      </c>
      <c r="U1033" s="152">
        <v>45680.568749999999</v>
      </c>
      <c r="V1033" s="219">
        <f t="shared" si="604"/>
        <v>0.19791666667151731</v>
      </c>
      <c r="W1033" s="203">
        <v>0.20833333333333334</v>
      </c>
      <c r="X1033" s="219" t="str">
        <f t="shared" si="605"/>
        <v>00:00</v>
      </c>
      <c r="Y1033" s="96">
        <v>0</v>
      </c>
      <c r="Z1033" s="96">
        <v>59</v>
      </c>
      <c r="AA1033" s="96">
        <f t="shared" si="584"/>
        <v>59</v>
      </c>
      <c r="AB1033" s="97">
        <f t="shared" si="585"/>
        <v>0</v>
      </c>
      <c r="AC1033" s="97">
        <f t="shared" si="586"/>
        <v>3916.5</v>
      </c>
      <c r="AD1033" s="98">
        <v>3916.5</v>
      </c>
      <c r="AE1033" s="98">
        <v>4082.4</v>
      </c>
      <c r="AF1033" s="98">
        <v>4082.4</v>
      </c>
      <c r="AG1033" s="98">
        <f t="shared" si="587"/>
        <v>165.90000000000009</v>
      </c>
      <c r="AH1033" s="99">
        <v>1435.6</v>
      </c>
      <c r="AI1033" s="100">
        <f t="shared" si="588"/>
        <v>5860693.4399999995</v>
      </c>
      <c r="AJ1033" s="100">
        <f>(0*AH1033)*2</f>
        <v>0</v>
      </c>
      <c r="AK1033" s="100">
        <v>0</v>
      </c>
      <c r="AL1033" s="100">
        <v>0</v>
      </c>
      <c r="AM1033" s="100">
        <v>0</v>
      </c>
      <c r="AN1033" s="100">
        <v>0</v>
      </c>
      <c r="AO1033" s="100">
        <v>0</v>
      </c>
      <c r="AP1033" s="100">
        <f t="shared" si="601"/>
        <v>293035</v>
      </c>
      <c r="AQ1033" s="101">
        <f t="shared" si="602"/>
        <v>6153729</v>
      </c>
      <c r="AR1033" s="101">
        <v>0</v>
      </c>
      <c r="AS1033" s="101">
        <v>0</v>
      </c>
      <c r="AT1033" s="102" t="s">
        <v>33</v>
      </c>
      <c r="AU1033" s="109" t="s">
        <v>118</v>
      </c>
      <c r="AV1033" s="100">
        <v>0</v>
      </c>
      <c r="AW1033" s="105">
        <v>0</v>
      </c>
      <c r="AX1033" s="216">
        <f t="shared" si="606"/>
        <v>4.0637860082304549</v>
      </c>
      <c r="AY1033" s="217">
        <f t="shared" si="607"/>
        <v>238167</v>
      </c>
      <c r="AZ1033" s="107"/>
      <c r="BA1033" s="94">
        <v>45680.208333333336</v>
      </c>
      <c r="BB1033" s="94">
        <v>45680.215277777781</v>
      </c>
      <c r="BC1033" s="94">
        <v>45680.222222222219</v>
      </c>
      <c r="BD1033" s="94">
        <v>45680.379166666666</v>
      </c>
      <c r="BE1033" s="95">
        <f t="shared" si="608"/>
        <v>0.17083333332993789</v>
      </c>
      <c r="BF1033" s="95">
        <v>0</v>
      </c>
      <c r="BG1033" s="95">
        <v>5.2777777777777778E-2</v>
      </c>
      <c r="BH1033" s="95">
        <f t="shared" si="609"/>
        <v>6.9444444452528842E-3</v>
      </c>
      <c r="BI1033" s="95">
        <f t="shared" si="609"/>
        <v>6.9444444379769266E-3</v>
      </c>
      <c r="BJ1033" s="95">
        <f t="shared" si="609"/>
        <v>0.15694444444670808</v>
      </c>
      <c r="BK1033" s="95">
        <f t="shared" si="610"/>
        <v>0.163888888884685</v>
      </c>
      <c r="BL1033" s="95">
        <f t="shared" si="611"/>
        <v>0.11111111110690722</v>
      </c>
      <c r="BM1033" s="95" t="str">
        <f t="shared" si="612"/>
        <v>00:00</v>
      </c>
      <c r="BN1033" s="110"/>
    </row>
    <row r="1034" spans="1:66" s="8" customFormat="1" ht="12.75" customHeight="1" x14ac:dyDescent="0.25">
      <c r="A1034" s="150">
        <v>952</v>
      </c>
      <c r="B1034" s="150">
        <v>78</v>
      </c>
      <c r="C1034" s="90">
        <v>14</v>
      </c>
      <c r="D1034" s="111" t="s">
        <v>148</v>
      </c>
      <c r="E1034" s="210" t="s">
        <v>1069</v>
      </c>
      <c r="F1034" s="150" t="s">
        <v>16</v>
      </c>
      <c r="G1034" s="150" t="s">
        <v>17</v>
      </c>
      <c r="H1034" s="150" t="s">
        <v>150</v>
      </c>
      <c r="I1034" s="150" t="s">
        <v>583</v>
      </c>
      <c r="J1034" s="151">
        <v>45679</v>
      </c>
      <c r="K1034" s="135" t="s">
        <v>122</v>
      </c>
      <c r="L1034" s="135">
        <v>461000692</v>
      </c>
      <c r="M1034" s="151">
        <v>45680</v>
      </c>
      <c r="N1034" s="152">
        <v>45680.375</v>
      </c>
      <c r="O1034" s="152">
        <v>45680.375</v>
      </c>
      <c r="P1034" s="152">
        <v>45680.378472222219</v>
      </c>
      <c r="Q1034" s="152">
        <v>45680.583333333336</v>
      </c>
      <c r="R1034" s="152" t="s">
        <v>118</v>
      </c>
      <c r="S1034" s="152" t="s">
        <v>118</v>
      </c>
      <c r="T1034" s="152">
        <v>45680.666666666664</v>
      </c>
      <c r="U1034" s="152">
        <v>45680.791666666664</v>
      </c>
      <c r="V1034" s="219">
        <f t="shared" si="604"/>
        <v>0.20833333333575865</v>
      </c>
      <c r="W1034" s="203">
        <v>0.20833333333333334</v>
      </c>
      <c r="X1034" s="219">
        <f t="shared" si="605"/>
        <v>2.4253099528692701E-12</v>
      </c>
      <c r="Y1034" s="96">
        <v>0</v>
      </c>
      <c r="Z1034" s="96">
        <v>58</v>
      </c>
      <c r="AA1034" s="96">
        <f t="shared" si="584"/>
        <v>58</v>
      </c>
      <c r="AB1034" s="97">
        <f t="shared" si="585"/>
        <v>0</v>
      </c>
      <c r="AC1034" s="97">
        <f t="shared" si="586"/>
        <v>4054.4499999999994</v>
      </c>
      <c r="AD1034" s="98">
        <v>4054.45</v>
      </c>
      <c r="AE1034" s="98">
        <v>4025.7</v>
      </c>
      <c r="AF1034" s="98">
        <v>4070.2</v>
      </c>
      <c r="AG1034" s="98">
        <f t="shared" si="587"/>
        <v>15.75</v>
      </c>
      <c r="AH1034" s="99">
        <v>672.5</v>
      </c>
      <c r="AI1034" s="100">
        <f t="shared" si="588"/>
        <v>2737209.5</v>
      </c>
      <c r="AJ1034" s="100">
        <f>(0*AH1034)*2</f>
        <v>0</v>
      </c>
      <c r="AK1034" s="100">
        <v>0</v>
      </c>
      <c r="AL1034" s="100">
        <v>48280</v>
      </c>
      <c r="AM1034" s="100">
        <v>0</v>
      </c>
      <c r="AN1034" s="100">
        <v>0</v>
      </c>
      <c r="AO1034" s="100">
        <v>0</v>
      </c>
      <c r="AP1034" s="100">
        <f t="shared" si="601"/>
        <v>139275</v>
      </c>
      <c r="AQ1034" s="101">
        <f t="shared" si="602"/>
        <v>2924765</v>
      </c>
      <c r="AR1034" s="101">
        <v>0</v>
      </c>
      <c r="AS1034" s="101">
        <v>0</v>
      </c>
      <c r="AT1034" s="102" t="s">
        <v>33</v>
      </c>
      <c r="AU1034" s="109">
        <v>29</v>
      </c>
      <c r="AV1034" s="100">
        <f>71.88-39.38</f>
        <v>32.499999999999993</v>
      </c>
      <c r="AW1034" s="105">
        <v>0</v>
      </c>
      <c r="AX1034" s="216">
        <f t="shared" si="606"/>
        <v>0.38695887179991156</v>
      </c>
      <c r="AY1034" s="217">
        <f t="shared" si="607"/>
        <v>10592</v>
      </c>
      <c r="AZ1034" s="107"/>
      <c r="BA1034" s="94">
        <v>45680.375</v>
      </c>
      <c r="BB1034" s="94">
        <v>45680.378472222219</v>
      </c>
      <c r="BC1034" s="94">
        <v>45680.410416666666</v>
      </c>
      <c r="BD1034" s="94">
        <v>45680.570833333331</v>
      </c>
      <c r="BE1034" s="95">
        <f t="shared" si="608"/>
        <v>0.19583333333139308</v>
      </c>
      <c r="BF1034" s="95">
        <v>2.361111111111111E-2</v>
      </c>
      <c r="BG1034" s="95">
        <v>2.8472222222222222E-2</v>
      </c>
      <c r="BH1034" s="95">
        <f t="shared" si="609"/>
        <v>3.4722222189884633E-3</v>
      </c>
      <c r="BI1034" s="95">
        <f t="shared" si="609"/>
        <v>3.1944444446708076E-2</v>
      </c>
      <c r="BJ1034" s="95">
        <f t="shared" si="609"/>
        <v>0.16041666666569654</v>
      </c>
      <c r="BK1034" s="95">
        <f t="shared" si="610"/>
        <v>0.19236111111240461</v>
      </c>
      <c r="BL1034" s="95">
        <f t="shared" si="611"/>
        <v>0.14027777777907127</v>
      </c>
      <c r="BM1034" s="95" t="str">
        <f t="shared" si="612"/>
        <v>00:00</v>
      </c>
      <c r="BN1034" s="110"/>
    </row>
    <row r="1035" spans="1:66" s="8" customFormat="1" ht="12.75" customHeight="1" x14ac:dyDescent="0.25">
      <c r="A1035" s="150">
        <v>953</v>
      </c>
      <c r="B1035" s="150">
        <v>79</v>
      </c>
      <c r="C1035" s="90">
        <v>15</v>
      </c>
      <c r="D1035" s="111" t="s">
        <v>148</v>
      </c>
      <c r="E1035" s="210" t="s">
        <v>1069</v>
      </c>
      <c r="F1035" s="150" t="s">
        <v>16</v>
      </c>
      <c r="G1035" s="150" t="s">
        <v>17</v>
      </c>
      <c r="H1035" s="150" t="s">
        <v>150</v>
      </c>
      <c r="I1035" s="150" t="s">
        <v>586</v>
      </c>
      <c r="J1035" s="151">
        <v>45679</v>
      </c>
      <c r="K1035" s="135" t="s">
        <v>117</v>
      </c>
      <c r="L1035" s="135">
        <v>461000693</v>
      </c>
      <c r="M1035" s="151">
        <v>45680</v>
      </c>
      <c r="N1035" s="152">
        <v>45680.677083333336</v>
      </c>
      <c r="O1035" s="152">
        <v>45680.677083333336</v>
      </c>
      <c r="P1035" s="152">
        <v>45680.680555555555</v>
      </c>
      <c r="Q1035" s="152">
        <v>45680.885416666664</v>
      </c>
      <c r="R1035" s="152" t="s">
        <v>118</v>
      </c>
      <c r="S1035" s="152" t="s">
        <v>118</v>
      </c>
      <c r="T1035" s="152">
        <v>45680.9375</v>
      </c>
      <c r="U1035" s="152">
        <v>45681.104166666664</v>
      </c>
      <c r="V1035" s="219">
        <f t="shared" si="604"/>
        <v>0.20833333332848269</v>
      </c>
      <c r="W1035" s="203">
        <v>0.20833333333333334</v>
      </c>
      <c r="X1035" s="219" t="str">
        <f t="shared" si="605"/>
        <v>00:00</v>
      </c>
      <c r="Y1035" s="96">
        <v>5</v>
      </c>
      <c r="Z1035" s="96">
        <v>53</v>
      </c>
      <c r="AA1035" s="96">
        <f t="shared" si="584"/>
        <v>58</v>
      </c>
      <c r="AB1035" s="97">
        <f t="shared" si="585"/>
        <v>347.23275862068965</v>
      </c>
      <c r="AC1035" s="97">
        <f t="shared" si="586"/>
        <v>3680.6672413793103</v>
      </c>
      <c r="AD1035" s="98">
        <v>4027.9</v>
      </c>
      <c r="AE1035" s="98">
        <v>4016.5</v>
      </c>
      <c r="AF1035" s="98">
        <v>4044.8</v>
      </c>
      <c r="AG1035" s="98">
        <f t="shared" si="587"/>
        <v>16.900000000000091</v>
      </c>
      <c r="AH1035" s="99">
        <v>672.5</v>
      </c>
      <c r="AI1035" s="100">
        <f t="shared" si="588"/>
        <v>2720128</v>
      </c>
      <c r="AJ1035" s="100">
        <f>(0*AH1035)*2</f>
        <v>0</v>
      </c>
      <c r="AK1035" s="100">
        <v>0</v>
      </c>
      <c r="AL1035" s="100">
        <v>24140</v>
      </c>
      <c r="AM1035" s="100">
        <v>0</v>
      </c>
      <c r="AN1035" s="100">
        <v>0</v>
      </c>
      <c r="AO1035" s="100">
        <v>0</v>
      </c>
      <c r="AP1035" s="100">
        <f t="shared" si="601"/>
        <v>137214</v>
      </c>
      <c r="AQ1035" s="101">
        <f t="shared" si="602"/>
        <v>2881482</v>
      </c>
      <c r="AR1035" s="101">
        <v>0</v>
      </c>
      <c r="AS1035" s="101">
        <v>0</v>
      </c>
      <c r="AT1035" s="102" t="s">
        <v>33</v>
      </c>
      <c r="AU1035" s="109">
        <v>11</v>
      </c>
      <c r="AV1035" s="100">
        <f>33.86-24.86</f>
        <v>9</v>
      </c>
      <c r="AW1035" s="105">
        <v>0</v>
      </c>
      <c r="AX1035" s="216">
        <f t="shared" si="606"/>
        <v>0.41782041139240728</v>
      </c>
      <c r="AY1035" s="217">
        <f t="shared" si="607"/>
        <v>11366</v>
      </c>
      <c r="AZ1035" s="107"/>
      <c r="BA1035" s="94">
        <v>45680.677083333336</v>
      </c>
      <c r="BB1035" s="94">
        <v>45680.680555555555</v>
      </c>
      <c r="BC1035" s="94">
        <v>45680.694444444445</v>
      </c>
      <c r="BD1035" s="94">
        <v>45680.809027777781</v>
      </c>
      <c r="BE1035" s="95">
        <f t="shared" si="608"/>
        <v>0.13194444444525288</v>
      </c>
      <c r="BF1035" s="95">
        <v>6.9444444444444441E-3</v>
      </c>
      <c r="BG1035" s="95">
        <v>6.9444444444444441E-3</v>
      </c>
      <c r="BH1035" s="95">
        <f t="shared" si="609"/>
        <v>3.4722222189884633E-3</v>
      </c>
      <c r="BI1035" s="95">
        <f t="shared" si="609"/>
        <v>1.3888888890505768E-2</v>
      </c>
      <c r="BJ1035" s="95">
        <f t="shared" si="609"/>
        <v>0.11458333333575865</v>
      </c>
      <c r="BK1035" s="95">
        <f t="shared" si="610"/>
        <v>0.12847222222626442</v>
      </c>
      <c r="BL1035" s="95">
        <f t="shared" si="611"/>
        <v>0.11458333333737553</v>
      </c>
      <c r="BM1035" s="95" t="str">
        <f t="shared" si="612"/>
        <v>00:00</v>
      </c>
      <c r="BN1035" s="110"/>
    </row>
    <row r="1036" spans="1:66" s="8" customFormat="1" ht="12.75" customHeight="1" x14ac:dyDescent="0.25">
      <c r="A1036" s="150">
        <v>954</v>
      </c>
      <c r="B1036" s="150">
        <v>80</v>
      </c>
      <c r="C1036" s="90">
        <v>16</v>
      </c>
      <c r="D1036" s="111" t="s">
        <v>148</v>
      </c>
      <c r="E1036" s="210" t="s">
        <v>1069</v>
      </c>
      <c r="F1036" s="150" t="s">
        <v>16</v>
      </c>
      <c r="G1036" s="150" t="s">
        <v>17</v>
      </c>
      <c r="H1036" s="150" t="s">
        <v>150</v>
      </c>
      <c r="I1036" s="150" t="s">
        <v>587</v>
      </c>
      <c r="J1036" s="151">
        <v>45679</v>
      </c>
      <c r="K1036" s="135" t="s">
        <v>122</v>
      </c>
      <c r="L1036" s="135">
        <v>461000694</v>
      </c>
      <c r="M1036" s="151">
        <v>45682</v>
      </c>
      <c r="N1036" s="152">
        <v>45681.8125</v>
      </c>
      <c r="O1036" s="152">
        <v>45681.8125</v>
      </c>
      <c r="P1036" s="152">
        <v>45681.826388888891</v>
      </c>
      <c r="Q1036" s="152">
        <v>45681.958333333336</v>
      </c>
      <c r="R1036" s="152" t="s">
        <v>118</v>
      </c>
      <c r="S1036" s="152" t="s">
        <v>118</v>
      </c>
      <c r="T1036" s="152">
        <v>45681.979166666664</v>
      </c>
      <c r="U1036" s="152">
        <v>45682.089583333334</v>
      </c>
      <c r="V1036" s="219">
        <f t="shared" si="604"/>
        <v>0.14583333333575865</v>
      </c>
      <c r="W1036" s="203">
        <v>0.20833333333333334</v>
      </c>
      <c r="X1036" s="219" t="str">
        <f t="shared" si="605"/>
        <v>00:00</v>
      </c>
      <c r="Y1036" s="96">
        <v>0</v>
      </c>
      <c r="Z1036" s="96">
        <v>59</v>
      </c>
      <c r="AA1036" s="96">
        <f t="shared" si="584"/>
        <v>59</v>
      </c>
      <c r="AB1036" s="97">
        <f t="shared" si="585"/>
        <v>0</v>
      </c>
      <c r="AC1036" s="97">
        <f t="shared" si="586"/>
        <v>4061.54</v>
      </c>
      <c r="AD1036" s="98">
        <v>4061.54</v>
      </c>
      <c r="AE1036" s="98">
        <v>4098.3999999999996</v>
      </c>
      <c r="AF1036" s="98">
        <v>4105.6000000000004</v>
      </c>
      <c r="AG1036" s="98">
        <f t="shared" si="587"/>
        <v>44.0600000000004</v>
      </c>
      <c r="AH1036" s="99">
        <v>672.5</v>
      </c>
      <c r="AI1036" s="100">
        <f t="shared" si="588"/>
        <v>2761016.0000000005</v>
      </c>
      <c r="AJ1036" s="100">
        <f>(1*AH1036)*2</f>
        <v>1345</v>
      </c>
      <c r="AK1036" s="100">
        <v>0</v>
      </c>
      <c r="AL1036" s="100">
        <v>0</v>
      </c>
      <c r="AM1036" s="100">
        <v>0</v>
      </c>
      <c r="AN1036" s="100">
        <v>0</v>
      </c>
      <c r="AO1036" s="100">
        <v>0</v>
      </c>
      <c r="AP1036" s="100">
        <f t="shared" si="601"/>
        <v>138119</v>
      </c>
      <c r="AQ1036" s="101">
        <f t="shared" si="602"/>
        <v>2900480</v>
      </c>
      <c r="AR1036" s="101">
        <v>0</v>
      </c>
      <c r="AS1036" s="101">
        <v>0</v>
      </c>
      <c r="AT1036" s="102" t="s">
        <v>33</v>
      </c>
      <c r="AU1036" s="109" t="s">
        <v>118</v>
      </c>
      <c r="AV1036" s="100">
        <v>0</v>
      </c>
      <c r="AW1036" s="105">
        <v>0</v>
      </c>
      <c r="AX1036" s="216">
        <f t="shared" si="606"/>
        <v>1.0731683554170011</v>
      </c>
      <c r="AY1036" s="217">
        <f t="shared" si="607"/>
        <v>29631</v>
      </c>
      <c r="AZ1036" s="107"/>
      <c r="BA1036" s="94">
        <v>45681.8125</v>
      </c>
      <c r="BB1036" s="94">
        <v>45681.826388888891</v>
      </c>
      <c r="BC1036" s="94">
        <v>45681.826388888891</v>
      </c>
      <c r="BD1036" s="94">
        <v>45681.936805555553</v>
      </c>
      <c r="BE1036" s="95">
        <f t="shared" si="608"/>
        <v>0.12430555555329192</v>
      </c>
      <c r="BF1036" s="95">
        <v>0</v>
      </c>
      <c r="BG1036" s="95">
        <v>0</v>
      </c>
      <c r="BH1036" s="95">
        <f t="shared" si="609"/>
        <v>1.3888888890505768E-2</v>
      </c>
      <c r="BI1036" s="95">
        <f t="shared" si="609"/>
        <v>0</v>
      </c>
      <c r="BJ1036" s="95">
        <f t="shared" si="609"/>
        <v>0.11041666666278616</v>
      </c>
      <c r="BK1036" s="95">
        <f t="shared" si="610"/>
        <v>0.11041666666278616</v>
      </c>
      <c r="BL1036" s="95">
        <f t="shared" si="611"/>
        <v>0.11041666666278616</v>
      </c>
      <c r="BM1036" s="95" t="str">
        <f t="shared" si="612"/>
        <v>00:00</v>
      </c>
      <c r="BN1036" s="110"/>
    </row>
    <row r="1037" spans="1:66" s="8" customFormat="1" ht="12.75" customHeight="1" x14ac:dyDescent="0.25">
      <c r="A1037" s="150">
        <v>955</v>
      </c>
      <c r="B1037" s="150">
        <v>81</v>
      </c>
      <c r="C1037" s="90">
        <v>17</v>
      </c>
      <c r="D1037" s="111" t="s">
        <v>148</v>
      </c>
      <c r="E1037" s="210" t="s">
        <v>1069</v>
      </c>
      <c r="F1037" s="150" t="s">
        <v>16</v>
      </c>
      <c r="G1037" s="150" t="s">
        <v>17</v>
      </c>
      <c r="H1037" s="150" t="s">
        <v>150</v>
      </c>
      <c r="I1037" s="150" t="s">
        <v>588</v>
      </c>
      <c r="J1037" s="151">
        <v>45679</v>
      </c>
      <c r="K1037" s="135" t="s">
        <v>117</v>
      </c>
      <c r="L1037" s="135">
        <v>461000695</v>
      </c>
      <c r="M1037" s="151">
        <v>45682</v>
      </c>
      <c r="N1037" s="152">
        <v>45682.072916666664</v>
      </c>
      <c r="O1037" s="152">
        <v>45682.072916666664</v>
      </c>
      <c r="P1037" s="152">
        <v>45682.076388888891</v>
      </c>
      <c r="Q1037" s="152">
        <v>45682.270833333336</v>
      </c>
      <c r="R1037" s="152" t="s">
        <v>118</v>
      </c>
      <c r="S1037" s="152" t="s">
        <v>118</v>
      </c>
      <c r="T1037" s="152">
        <v>45682.333333333336</v>
      </c>
      <c r="U1037" s="152">
        <v>45682.434027777781</v>
      </c>
      <c r="V1037" s="219">
        <f t="shared" si="604"/>
        <v>0.19791666667151731</v>
      </c>
      <c r="W1037" s="203">
        <v>0.20833333333333334</v>
      </c>
      <c r="X1037" s="219" t="str">
        <f t="shared" si="605"/>
        <v>00:00</v>
      </c>
      <c r="Y1037" s="96">
        <v>0</v>
      </c>
      <c r="Z1037" s="96">
        <v>58</v>
      </c>
      <c r="AA1037" s="96">
        <f t="shared" si="584"/>
        <v>58</v>
      </c>
      <c r="AB1037" s="97">
        <f t="shared" si="585"/>
        <v>0</v>
      </c>
      <c r="AC1037" s="97">
        <f t="shared" si="586"/>
        <v>4042.1599999999994</v>
      </c>
      <c r="AD1037" s="98">
        <v>4042.16</v>
      </c>
      <c r="AE1037" s="98">
        <v>4028.6</v>
      </c>
      <c r="AF1037" s="98">
        <v>4055.4</v>
      </c>
      <c r="AG1037" s="98">
        <f t="shared" si="587"/>
        <v>13.240000000000236</v>
      </c>
      <c r="AH1037" s="99">
        <v>672.5</v>
      </c>
      <c r="AI1037" s="100">
        <f t="shared" si="588"/>
        <v>2727256.5</v>
      </c>
      <c r="AJ1037" s="100">
        <f>(0*AH1037)*2</f>
        <v>0</v>
      </c>
      <c r="AK1037" s="100">
        <v>0</v>
      </c>
      <c r="AL1037" s="100">
        <v>24140</v>
      </c>
      <c r="AM1037" s="100">
        <v>0</v>
      </c>
      <c r="AN1037" s="100">
        <v>0</v>
      </c>
      <c r="AO1037" s="100">
        <v>0</v>
      </c>
      <c r="AP1037" s="100">
        <f t="shared" si="601"/>
        <v>137570</v>
      </c>
      <c r="AQ1037" s="101">
        <f t="shared" si="602"/>
        <v>2888967</v>
      </c>
      <c r="AR1037" s="101">
        <v>0</v>
      </c>
      <c r="AS1037" s="101">
        <v>0</v>
      </c>
      <c r="AT1037" s="102" t="s">
        <v>33</v>
      </c>
      <c r="AU1037" s="109">
        <v>13</v>
      </c>
      <c r="AV1037" s="100">
        <f>31.34-23.34</f>
        <v>8</v>
      </c>
      <c r="AW1037" s="105">
        <v>0</v>
      </c>
      <c r="AX1037" s="216">
        <f t="shared" si="606"/>
        <v>0.32647827587908068</v>
      </c>
      <c r="AY1037" s="217">
        <f t="shared" si="607"/>
        <v>8904</v>
      </c>
      <c r="AZ1037" s="107"/>
      <c r="BA1037" s="94">
        <v>45682.072916666664</v>
      </c>
      <c r="BB1037" s="94">
        <v>45682.076388888891</v>
      </c>
      <c r="BC1037" s="94">
        <v>45682.076388888891</v>
      </c>
      <c r="BD1037" s="94">
        <v>45682.204861111109</v>
      </c>
      <c r="BE1037" s="95">
        <f t="shared" si="608"/>
        <v>0.13194444444525288</v>
      </c>
      <c r="BF1037" s="95">
        <v>0</v>
      </c>
      <c r="BG1037" s="95">
        <v>0</v>
      </c>
      <c r="BH1037" s="95">
        <f t="shared" si="609"/>
        <v>3.4722222262644209E-3</v>
      </c>
      <c r="BI1037" s="95">
        <f t="shared" si="609"/>
        <v>0</v>
      </c>
      <c r="BJ1037" s="95">
        <f t="shared" si="609"/>
        <v>0.12847222221898846</v>
      </c>
      <c r="BK1037" s="95">
        <f t="shared" si="610"/>
        <v>0.12847222221898846</v>
      </c>
      <c r="BL1037" s="95">
        <f t="shared" si="611"/>
        <v>0.12847222221898846</v>
      </c>
      <c r="BM1037" s="95" t="str">
        <f t="shared" si="612"/>
        <v>00:00</v>
      </c>
      <c r="BN1037" s="110"/>
    </row>
    <row r="1038" spans="1:66" s="8" customFormat="1" ht="12.75" customHeight="1" x14ac:dyDescent="0.25">
      <c r="A1038" s="150">
        <v>956</v>
      </c>
      <c r="B1038" s="150">
        <v>82</v>
      </c>
      <c r="C1038" s="90">
        <v>18</v>
      </c>
      <c r="D1038" s="111" t="s">
        <v>148</v>
      </c>
      <c r="E1038" s="210" t="s">
        <v>1069</v>
      </c>
      <c r="F1038" s="150" t="s">
        <v>16</v>
      </c>
      <c r="G1038" s="150" t="s">
        <v>17</v>
      </c>
      <c r="H1038" s="150" t="s">
        <v>150</v>
      </c>
      <c r="I1038" s="150" t="s">
        <v>589</v>
      </c>
      <c r="J1038" s="151">
        <v>45679</v>
      </c>
      <c r="K1038" s="135" t="s">
        <v>122</v>
      </c>
      <c r="L1038" s="135">
        <v>461000696</v>
      </c>
      <c r="M1038" s="151">
        <v>45682</v>
      </c>
      <c r="N1038" s="152">
        <v>45682.166666666664</v>
      </c>
      <c r="O1038" s="152">
        <v>45682.166666666664</v>
      </c>
      <c r="P1038" s="152">
        <v>45682.170138888891</v>
      </c>
      <c r="Q1038" s="152">
        <v>45682.354166666664</v>
      </c>
      <c r="R1038" s="152" t="s">
        <v>118</v>
      </c>
      <c r="S1038" s="152" t="s">
        <v>118</v>
      </c>
      <c r="T1038" s="152">
        <v>45682.493055555555</v>
      </c>
      <c r="U1038" s="152">
        <v>45682.600694444445</v>
      </c>
      <c r="V1038" s="219">
        <f t="shared" si="604"/>
        <v>0.1875</v>
      </c>
      <c r="W1038" s="203">
        <v>0.20833333333333334</v>
      </c>
      <c r="X1038" s="219" t="str">
        <f t="shared" si="605"/>
        <v>00:00</v>
      </c>
      <c r="Y1038" s="96">
        <v>0</v>
      </c>
      <c r="Z1038" s="96">
        <v>59</v>
      </c>
      <c r="AA1038" s="96">
        <f t="shared" si="584"/>
        <v>59</v>
      </c>
      <c r="AB1038" s="97">
        <f t="shared" si="585"/>
        <v>0</v>
      </c>
      <c r="AC1038" s="97">
        <f t="shared" si="586"/>
        <v>4059.6900000000005</v>
      </c>
      <c r="AD1038" s="98">
        <v>4059.69</v>
      </c>
      <c r="AE1038" s="98">
        <v>4102.8999999999996</v>
      </c>
      <c r="AF1038" s="98">
        <v>4111.8</v>
      </c>
      <c r="AG1038" s="98">
        <f t="shared" si="587"/>
        <v>52.110000000000127</v>
      </c>
      <c r="AH1038" s="99">
        <v>672.5</v>
      </c>
      <c r="AI1038" s="100">
        <f t="shared" si="588"/>
        <v>2765185.5</v>
      </c>
      <c r="AJ1038" s="100">
        <f>(0.8*AH1038)*2</f>
        <v>1076</v>
      </c>
      <c r="AK1038" s="100">
        <v>0</v>
      </c>
      <c r="AL1038" s="100">
        <v>0</v>
      </c>
      <c r="AM1038" s="100">
        <v>0</v>
      </c>
      <c r="AN1038" s="100">
        <v>0</v>
      </c>
      <c r="AO1038" s="100">
        <v>0</v>
      </c>
      <c r="AP1038" s="100">
        <f t="shared" si="601"/>
        <v>138314</v>
      </c>
      <c r="AQ1038" s="101">
        <f t="shared" si="602"/>
        <v>2904576</v>
      </c>
      <c r="AR1038" s="101">
        <v>0</v>
      </c>
      <c r="AS1038" s="101">
        <v>0</v>
      </c>
      <c r="AT1038" s="102" t="s">
        <v>33</v>
      </c>
      <c r="AU1038" s="109" t="s">
        <v>118</v>
      </c>
      <c r="AV1038" s="100">
        <v>0</v>
      </c>
      <c r="AW1038" s="105">
        <v>0</v>
      </c>
      <c r="AX1038" s="216">
        <f t="shared" si="606"/>
        <v>1.26732817744054</v>
      </c>
      <c r="AY1038" s="217">
        <f t="shared" si="607"/>
        <v>35044</v>
      </c>
      <c r="AZ1038" s="107"/>
      <c r="BA1038" s="94">
        <v>45682.166666666664</v>
      </c>
      <c r="BB1038" s="94">
        <v>45682.170138888891</v>
      </c>
      <c r="BC1038" s="94">
        <v>45682.208333333336</v>
      </c>
      <c r="BD1038" s="94">
        <v>45682.329861111109</v>
      </c>
      <c r="BE1038" s="95">
        <f t="shared" si="608"/>
        <v>0.16319444444525288</v>
      </c>
      <c r="BF1038" s="95">
        <v>0</v>
      </c>
      <c r="BG1038" s="95">
        <v>3.8194444444444448E-2</v>
      </c>
      <c r="BH1038" s="95">
        <f t="shared" si="609"/>
        <v>3.4722222262644209E-3</v>
      </c>
      <c r="BI1038" s="95">
        <f t="shared" si="609"/>
        <v>3.8194444445252884E-2</v>
      </c>
      <c r="BJ1038" s="95">
        <f t="shared" si="609"/>
        <v>0.12152777777373558</v>
      </c>
      <c r="BK1038" s="95">
        <f t="shared" si="610"/>
        <v>0.15972222221898846</v>
      </c>
      <c r="BL1038" s="95">
        <f t="shared" si="611"/>
        <v>0.12152777777454402</v>
      </c>
      <c r="BM1038" s="95" t="str">
        <f t="shared" si="612"/>
        <v>00:00</v>
      </c>
      <c r="BN1038" s="110"/>
    </row>
    <row r="1039" spans="1:66" s="8" customFormat="1" ht="12.75" customHeight="1" x14ac:dyDescent="0.25">
      <c r="A1039" s="150">
        <v>957</v>
      </c>
      <c r="B1039" s="150">
        <v>83</v>
      </c>
      <c r="C1039" s="90">
        <v>11</v>
      </c>
      <c r="D1039" s="111" t="s">
        <v>113</v>
      </c>
      <c r="E1039" s="210" t="s">
        <v>1024</v>
      </c>
      <c r="F1039" s="150" t="s">
        <v>32</v>
      </c>
      <c r="G1039" s="150" t="s">
        <v>15</v>
      </c>
      <c r="H1039" s="150" t="s">
        <v>135</v>
      </c>
      <c r="I1039" s="150" t="s">
        <v>1075</v>
      </c>
      <c r="J1039" s="151">
        <v>45682</v>
      </c>
      <c r="K1039" s="135" t="s">
        <v>117</v>
      </c>
      <c r="L1039" s="135">
        <v>261006211</v>
      </c>
      <c r="M1039" s="151">
        <v>45682</v>
      </c>
      <c r="N1039" s="152">
        <v>45682.458333333336</v>
      </c>
      <c r="O1039" s="152">
        <v>45682.458333333336</v>
      </c>
      <c r="P1039" s="152">
        <v>45682.472222222219</v>
      </c>
      <c r="Q1039" s="152">
        <v>45682.65625</v>
      </c>
      <c r="R1039" s="152" t="s">
        <v>118</v>
      </c>
      <c r="S1039" s="152" t="s">
        <v>118</v>
      </c>
      <c r="T1039" s="152">
        <v>45682.697916666664</v>
      </c>
      <c r="U1039" s="152">
        <v>45682.758333333331</v>
      </c>
      <c r="V1039" s="219">
        <f t="shared" si="604"/>
        <v>0.19791666666424135</v>
      </c>
      <c r="W1039" s="203">
        <v>0.20833333333333334</v>
      </c>
      <c r="X1039" s="219" t="str">
        <f t="shared" si="605"/>
        <v>00:00</v>
      </c>
      <c r="Y1039" s="96">
        <v>0</v>
      </c>
      <c r="Z1039" s="96">
        <v>59</v>
      </c>
      <c r="AA1039" s="96">
        <f t="shared" si="584"/>
        <v>59</v>
      </c>
      <c r="AB1039" s="97">
        <f t="shared" si="585"/>
        <v>0</v>
      </c>
      <c r="AC1039" s="97">
        <f t="shared" si="586"/>
        <v>3970.64</v>
      </c>
      <c r="AD1039" s="98">
        <v>3970.64</v>
      </c>
      <c r="AE1039" s="98">
        <v>4094.1</v>
      </c>
      <c r="AF1039" s="98">
        <v>4096.8</v>
      </c>
      <c r="AG1039" s="98">
        <f t="shared" si="587"/>
        <v>126.16000000000031</v>
      </c>
      <c r="AH1039" s="99">
        <v>797.2</v>
      </c>
      <c r="AI1039" s="100">
        <f t="shared" si="588"/>
        <v>3265968.9600000004</v>
      </c>
      <c r="AJ1039" s="100">
        <f>(0*AH1039)*2</f>
        <v>0</v>
      </c>
      <c r="AK1039" s="100">
        <v>0</v>
      </c>
      <c r="AL1039" s="100">
        <v>0</v>
      </c>
      <c r="AM1039" s="100">
        <v>0</v>
      </c>
      <c r="AN1039" s="100">
        <v>0</v>
      </c>
      <c r="AO1039" s="100">
        <v>0</v>
      </c>
      <c r="AP1039" s="100">
        <f t="shared" si="601"/>
        <v>163299</v>
      </c>
      <c r="AQ1039" s="101">
        <f t="shared" si="602"/>
        <v>3429268</v>
      </c>
      <c r="AR1039" s="101">
        <v>0</v>
      </c>
      <c r="AS1039" s="101">
        <v>0</v>
      </c>
      <c r="AT1039" s="102" t="s">
        <v>33</v>
      </c>
      <c r="AU1039" s="109" t="s">
        <v>118</v>
      </c>
      <c r="AV1039" s="100">
        <v>0</v>
      </c>
      <c r="AW1039" s="105">
        <v>0</v>
      </c>
      <c r="AX1039" s="216">
        <f t="shared" si="606"/>
        <v>3.0794766647139307</v>
      </c>
      <c r="AY1039" s="217">
        <f t="shared" si="607"/>
        <v>100575</v>
      </c>
      <c r="AZ1039" s="107"/>
      <c r="BA1039" s="94">
        <v>45682.458333333336</v>
      </c>
      <c r="BB1039" s="94">
        <v>45682.472222222219</v>
      </c>
      <c r="BC1039" s="94">
        <v>45682.486111111109</v>
      </c>
      <c r="BD1039" s="94">
        <v>45682.634027777778</v>
      </c>
      <c r="BE1039" s="95">
        <f t="shared" si="608"/>
        <v>0.1756944444423425</v>
      </c>
      <c r="BF1039" s="95">
        <v>1.3888888888888888E-2</v>
      </c>
      <c r="BG1039" s="95">
        <v>4.3055555555555555E-2</v>
      </c>
      <c r="BH1039" s="95">
        <f t="shared" si="609"/>
        <v>1.3888888883229811E-2</v>
      </c>
      <c r="BI1039" s="95">
        <f t="shared" si="609"/>
        <v>1.3888888890505768E-2</v>
      </c>
      <c r="BJ1039" s="95">
        <f t="shared" si="609"/>
        <v>0.14791666666860692</v>
      </c>
      <c r="BK1039" s="95">
        <f t="shared" si="610"/>
        <v>0.16180555555911269</v>
      </c>
      <c r="BL1039" s="95">
        <f t="shared" si="611"/>
        <v>0.10486111111466824</v>
      </c>
      <c r="BM1039" s="95" t="str">
        <f t="shared" si="612"/>
        <v>00:00</v>
      </c>
      <c r="BN1039" s="110"/>
    </row>
    <row r="1040" spans="1:66" s="8" customFormat="1" ht="12.75" customHeight="1" x14ac:dyDescent="0.25">
      <c r="A1040" s="150">
        <v>958</v>
      </c>
      <c r="B1040" s="150">
        <v>84</v>
      </c>
      <c r="C1040" s="90">
        <v>19</v>
      </c>
      <c r="D1040" s="111" t="s">
        <v>148</v>
      </c>
      <c r="E1040" s="210" t="s">
        <v>1069</v>
      </c>
      <c r="F1040" s="150" t="s">
        <v>16</v>
      </c>
      <c r="G1040" s="150" t="s">
        <v>17</v>
      </c>
      <c r="H1040" s="150" t="s">
        <v>150</v>
      </c>
      <c r="I1040" s="150" t="s">
        <v>593</v>
      </c>
      <c r="J1040" s="151">
        <v>45682</v>
      </c>
      <c r="K1040" s="135" t="s">
        <v>122</v>
      </c>
      <c r="L1040" s="135">
        <v>461000697</v>
      </c>
      <c r="M1040" s="151">
        <v>45682</v>
      </c>
      <c r="N1040" s="152">
        <v>45682.645833333336</v>
      </c>
      <c r="O1040" s="152">
        <v>45682.645833333336</v>
      </c>
      <c r="P1040" s="152">
        <v>45682.659722222219</v>
      </c>
      <c r="Q1040" s="152">
        <v>45682.8125</v>
      </c>
      <c r="R1040" s="152" t="s">
        <v>118</v>
      </c>
      <c r="S1040" s="152" t="s">
        <v>118</v>
      </c>
      <c r="T1040" s="152">
        <v>45682.854166666664</v>
      </c>
      <c r="U1040" s="152">
        <v>45682.976388888892</v>
      </c>
      <c r="V1040" s="219">
        <f t="shared" si="604"/>
        <v>0.16666666666424135</v>
      </c>
      <c r="W1040" s="203">
        <v>0.20833333333333334</v>
      </c>
      <c r="X1040" s="219" t="str">
        <f t="shared" si="605"/>
        <v>00:00</v>
      </c>
      <c r="Y1040" s="96">
        <v>0</v>
      </c>
      <c r="Z1040" s="96">
        <v>58</v>
      </c>
      <c r="AA1040" s="96">
        <f t="shared" si="584"/>
        <v>58</v>
      </c>
      <c r="AB1040" s="97">
        <f t="shared" si="585"/>
        <v>0</v>
      </c>
      <c r="AC1040" s="97">
        <f t="shared" si="586"/>
        <v>3971.19</v>
      </c>
      <c r="AD1040" s="98">
        <v>3971.19</v>
      </c>
      <c r="AE1040" s="98">
        <v>4044.1</v>
      </c>
      <c r="AF1040" s="98">
        <v>4045.2</v>
      </c>
      <c r="AG1040" s="98">
        <f t="shared" si="587"/>
        <v>74.009999999999764</v>
      </c>
      <c r="AH1040" s="99">
        <v>672.5</v>
      </c>
      <c r="AI1040" s="100">
        <f t="shared" si="588"/>
        <v>2720397</v>
      </c>
      <c r="AJ1040" s="100">
        <f>(0.4*AH1040)*2</f>
        <v>538</v>
      </c>
      <c r="AK1040" s="100">
        <v>0</v>
      </c>
      <c r="AL1040" s="100">
        <v>0</v>
      </c>
      <c r="AM1040" s="100">
        <v>0</v>
      </c>
      <c r="AN1040" s="100">
        <v>0</v>
      </c>
      <c r="AO1040" s="100">
        <v>0</v>
      </c>
      <c r="AP1040" s="100">
        <f t="shared" si="601"/>
        <v>136047</v>
      </c>
      <c r="AQ1040" s="101">
        <f t="shared" si="602"/>
        <v>2856982</v>
      </c>
      <c r="AR1040" s="101">
        <v>0</v>
      </c>
      <c r="AS1040" s="101">
        <v>0</v>
      </c>
      <c r="AT1040" s="102" t="s">
        <v>33</v>
      </c>
      <c r="AU1040" s="109" t="s">
        <v>118</v>
      </c>
      <c r="AV1040" s="100">
        <v>0</v>
      </c>
      <c r="AW1040" s="105">
        <v>0</v>
      </c>
      <c r="AX1040" s="216">
        <f t="shared" si="606"/>
        <v>1.8295757935330705</v>
      </c>
      <c r="AY1040" s="217">
        <f t="shared" si="607"/>
        <v>49772</v>
      </c>
      <c r="AZ1040" s="107"/>
      <c r="BA1040" s="94">
        <v>45682.645833333336</v>
      </c>
      <c r="BB1040" s="94">
        <v>45682.659722222219</v>
      </c>
      <c r="BC1040" s="94">
        <v>45682.659722222219</v>
      </c>
      <c r="BD1040" s="94">
        <v>45682.782638888886</v>
      </c>
      <c r="BE1040" s="95">
        <f t="shared" si="608"/>
        <v>0.13680555555038154</v>
      </c>
      <c r="BF1040" s="95">
        <v>0</v>
      </c>
      <c r="BG1040" s="95">
        <v>0</v>
      </c>
      <c r="BH1040" s="95">
        <f t="shared" si="609"/>
        <v>1.3888888883229811E-2</v>
      </c>
      <c r="BI1040" s="95">
        <f t="shared" si="609"/>
        <v>0</v>
      </c>
      <c r="BJ1040" s="95">
        <f t="shared" si="609"/>
        <v>0.12291666666715173</v>
      </c>
      <c r="BK1040" s="95">
        <f t="shared" si="610"/>
        <v>0.12291666666715173</v>
      </c>
      <c r="BL1040" s="95">
        <f t="shared" si="611"/>
        <v>0.12291666666715173</v>
      </c>
      <c r="BM1040" s="95" t="str">
        <f t="shared" si="612"/>
        <v>00:00</v>
      </c>
      <c r="BN1040" s="110"/>
    </row>
    <row r="1041" spans="1:66" s="8" customFormat="1" ht="12.75" customHeight="1" x14ac:dyDescent="0.25">
      <c r="A1041" s="115">
        <v>959</v>
      </c>
      <c r="B1041" s="115">
        <v>85</v>
      </c>
      <c r="C1041" s="90">
        <v>20</v>
      </c>
      <c r="D1041" s="115" t="s">
        <v>148</v>
      </c>
      <c r="E1041" s="210" t="s">
        <v>1069</v>
      </c>
      <c r="F1041" s="115" t="s">
        <v>16</v>
      </c>
      <c r="G1041" s="115" t="s">
        <v>17</v>
      </c>
      <c r="H1041" s="115" t="s">
        <v>150</v>
      </c>
      <c r="I1041" s="115" t="s">
        <v>598</v>
      </c>
      <c r="J1041" s="117">
        <v>45682</v>
      </c>
      <c r="K1041" s="116" t="s">
        <v>117</v>
      </c>
      <c r="L1041" s="116">
        <v>461000698</v>
      </c>
      <c r="M1041" s="117">
        <v>45683</v>
      </c>
      <c r="N1041" s="118">
        <v>45682.791666666664</v>
      </c>
      <c r="O1041" s="118">
        <v>45682.791666666664</v>
      </c>
      <c r="P1041" s="118">
        <v>45682.795138888891</v>
      </c>
      <c r="Q1041" s="118">
        <v>45682.9375</v>
      </c>
      <c r="R1041" s="118" t="s">
        <v>118</v>
      </c>
      <c r="S1041" s="118" t="s">
        <v>118</v>
      </c>
      <c r="T1041" s="118">
        <v>45683.055555555555</v>
      </c>
      <c r="U1041" s="118">
        <v>45683.140972222223</v>
      </c>
      <c r="V1041" s="119">
        <f t="shared" si="604"/>
        <v>0.14583333333575865</v>
      </c>
      <c r="W1041" s="185">
        <v>0.20833333333333334</v>
      </c>
      <c r="X1041" s="119" t="str">
        <f t="shared" si="605"/>
        <v>00:00</v>
      </c>
      <c r="Y1041" s="96">
        <v>0</v>
      </c>
      <c r="Z1041" s="96">
        <v>9</v>
      </c>
      <c r="AA1041" s="96">
        <f t="shared" si="584"/>
        <v>9</v>
      </c>
      <c r="AB1041" s="97">
        <f t="shared" si="585"/>
        <v>0</v>
      </c>
      <c r="AC1041" s="97">
        <f t="shared" si="586"/>
        <v>601.44000000000005</v>
      </c>
      <c r="AD1041" s="98">
        <f>3986.38-3384.94</f>
        <v>601.44000000000005</v>
      </c>
      <c r="AE1041" s="98">
        <f>4027-3404.7</f>
        <v>622.30000000000018</v>
      </c>
      <c r="AF1041" s="98">
        <f>4033.8-3407.5</f>
        <v>626.30000000000018</v>
      </c>
      <c r="AG1041" s="98">
        <f t="shared" si="587"/>
        <v>24.860000000000127</v>
      </c>
      <c r="AH1041" s="99">
        <v>672.5</v>
      </c>
      <c r="AI1041" s="100">
        <f t="shared" si="588"/>
        <v>421186.75000000012</v>
      </c>
      <c r="AJ1041" s="100">
        <f>(1.4*AH1041)*2</f>
        <v>1882.9999999999998</v>
      </c>
      <c r="AK1041" s="100">
        <v>0</v>
      </c>
      <c r="AL1041" s="100">
        <v>0</v>
      </c>
      <c r="AM1041" s="100">
        <v>0</v>
      </c>
      <c r="AN1041" s="100">
        <v>0</v>
      </c>
      <c r="AO1041" s="100">
        <v>0</v>
      </c>
      <c r="AP1041" s="100">
        <f>ROUNDUP(SUM(AI1041:AO1041)*5%,0)-1</f>
        <v>21153</v>
      </c>
      <c r="AQ1041" s="101">
        <f t="shared" si="602"/>
        <v>444223</v>
      </c>
      <c r="AR1041" s="101">
        <v>0</v>
      </c>
      <c r="AS1041" s="101">
        <v>0</v>
      </c>
      <c r="AT1041" s="137" t="s">
        <v>33</v>
      </c>
      <c r="AU1041" s="120" t="s">
        <v>118</v>
      </c>
      <c r="AV1041" s="121">
        <v>0</v>
      </c>
      <c r="AW1041" s="105">
        <v>0</v>
      </c>
      <c r="AX1041" s="140">
        <f>IFERROR(((AG1041+AG1042)/(AF1041+AF1042))*100, "")</f>
        <v>1.1755664633844036</v>
      </c>
      <c r="AY1041" s="141">
        <f>ROUNDUP((AG1041+AG1042)*AH1041,0)</f>
        <v>31890</v>
      </c>
      <c r="AZ1041" s="107"/>
      <c r="BA1041" s="118">
        <v>45682.791666666664</v>
      </c>
      <c r="BB1041" s="118">
        <v>45682.795138888891</v>
      </c>
      <c r="BC1041" s="118">
        <v>45682.795138888891</v>
      </c>
      <c r="BD1041" s="118">
        <v>45682.90625</v>
      </c>
      <c r="BE1041" s="119">
        <f t="shared" si="608"/>
        <v>0.11458333333575865</v>
      </c>
      <c r="BF1041" s="119">
        <v>0</v>
      </c>
      <c r="BG1041" s="119">
        <v>0</v>
      </c>
      <c r="BH1041" s="119">
        <f t="shared" si="609"/>
        <v>3.4722222262644209E-3</v>
      </c>
      <c r="BI1041" s="119">
        <f t="shared" si="609"/>
        <v>0</v>
      </c>
      <c r="BJ1041" s="119">
        <f t="shared" si="609"/>
        <v>0.11111111110949423</v>
      </c>
      <c r="BK1041" s="119">
        <f t="shared" si="610"/>
        <v>0.11111111110949423</v>
      </c>
      <c r="BL1041" s="119">
        <f t="shared" si="611"/>
        <v>0.11111111110949423</v>
      </c>
      <c r="BM1041" s="119" t="str">
        <f t="shared" si="612"/>
        <v>00:00</v>
      </c>
      <c r="BN1041" s="110" t="s">
        <v>1076</v>
      </c>
    </row>
    <row r="1042" spans="1:66" s="8" customFormat="1" ht="12.75" customHeight="1" x14ac:dyDescent="0.25">
      <c r="A1042" s="122"/>
      <c r="B1042" s="122"/>
      <c r="C1042" s="90">
        <v>1</v>
      </c>
      <c r="D1042" s="122"/>
      <c r="E1042" s="210" t="s">
        <v>1077</v>
      </c>
      <c r="F1042" s="122"/>
      <c r="G1042" s="122"/>
      <c r="H1042" s="122"/>
      <c r="I1042" s="122"/>
      <c r="J1042" s="124"/>
      <c r="K1042" s="123"/>
      <c r="L1042" s="123"/>
      <c r="M1042" s="124"/>
      <c r="N1042" s="125"/>
      <c r="O1042" s="125"/>
      <c r="P1042" s="125"/>
      <c r="Q1042" s="125"/>
      <c r="R1042" s="125"/>
      <c r="S1042" s="125"/>
      <c r="T1042" s="125"/>
      <c r="U1042" s="125"/>
      <c r="V1042" s="126"/>
      <c r="W1042" s="189"/>
      <c r="X1042" s="126"/>
      <c r="Y1042" s="96">
        <v>0</v>
      </c>
      <c r="Z1042" s="96">
        <v>49</v>
      </c>
      <c r="AA1042" s="96">
        <f t="shared" si="584"/>
        <v>49</v>
      </c>
      <c r="AB1042" s="97">
        <f t="shared" si="585"/>
        <v>0</v>
      </c>
      <c r="AC1042" s="97">
        <f t="shared" si="586"/>
        <v>3384.94</v>
      </c>
      <c r="AD1042" s="98">
        <v>3384.94</v>
      </c>
      <c r="AE1042" s="98">
        <v>3404.7</v>
      </c>
      <c r="AF1042" s="98">
        <v>3407.5</v>
      </c>
      <c r="AG1042" s="98">
        <f t="shared" si="587"/>
        <v>22.559999999999945</v>
      </c>
      <c r="AH1042" s="99">
        <v>672.5</v>
      </c>
      <c r="AI1042" s="100">
        <f t="shared" si="588"/>
        <v>2291543.75</v>
      </c>
      <c r="AJ1042" s="100">
        <v>0</v>
      </c>
      <c r="AK1042" s="100">
        <v>0</v>
      </c>
      <c r="AL1042" s="100">
        <v>0</v>
      </c>
      <c r="AM1042" s="100">
        <v>0</v>
      </c>
      <c r="AN1042" s="100">
        <v>0</v>
      </c>
      <c r="AO1042" s="100">
        <v>0</v>
      </c>
      <c r="AP1042" s="100">
        <f t="shared" ref="AP1042:AP1083" si="613">ROUNDUP(SUM(AI1042:AO1042)*5%,0)</f>
        <v>114578</v>
      </c>
      <c r="AQ1042" s="101">
        <f t="shared" si="602"/>
        <v>2406122</v>
      </c>
      <c r="AR1042" s="101">
        <v>0</v>
      </c>
      <c r="AS1042" s="101">
        <v>0</v>
      </c>
      <c r="AT1042" s="138"/>
      <c r="AU1042" s="127"/>
      <c r="AV1042" s="128"/>
      <c r="AW1042" s="105">
        <v>0</v>
      </c>
      <c r="AX1042" s="144"/>
      <c r="AY1042" s="145"/>
      <c r="AZ1042" s="107"/>
      <c r="BA1042" s="125"/>
      <c r="BB1042" s="125"/>
      <c r="BC1042" s="125"/>
      <c r="BD1042" s="125"/>
      <c r="BE1042" s="126"/>
      <c r="BF1042" s="126"/>
      <c r="BG1042" s="126"/>
      <c r="BH1042" s="126"/>
      <c r="BI1042" s="126"/>
      <c r="BJ1042" s="126"/>
      <c r="BK1042" s="126"/>
      <c r="BL1042" s="126"/>
      <c r="BM1042" s="126"/>
      <c r="BN1042" s="110" t="s">
        <v>1078</v>
      </c>
    </row>
    <row r="1043" spans="1:66" s="8" customFormat="1" ht="12.75" customHeight="1" x14ac:dyDescent="0.25">
      <c r="A1043" s="150">
        <v>960</v>
      </c>
      <c r="B1043" s="150">
        <v>86</v>
      </c>
      <c r="C1043" s="90">
        <v>2</v>
      </c>
      <c r="D1043" s="111" t="s">
        <v>148</v>
      </c>
      <c r="E1043" s="210" t="s">
        <v>1077</v>
      </c>
      <c r="F1043" s="150" t="s">
        <v>16</v>
      </c>
      <c r="G1043" s="150" t="s">
        <v>17</v>
      </c>
      <c r="H1043" s="150" t="s">
        <v>150</v>
      </c>
      <c r="I1043" s="150" t="s">
        <v>600</v>
      </c>
      <c r="J1043" s="151">
        <v>45682</v>
      </c>
      <c r="K1043" s="135" t="s">
        <v>122</v>
      </c>
      <c r="L1043" s="135">
        <v>461000699</v>
      </c>
      <c r="M1043" s="151">
        <v>45683</v>
      </c>
      <c r="N1043" s="152">
        <v>45683.010416666664</v>
      </c>
      <c r="O1043" s="152">
        <v>45683.010416666664</v>
      </c>
      <c r="P1043" s="152">
        <v>45683.017361111109</v>
      </c>
      <c r="Q1043" s="152">
        <v>45683.166666666664</v>
      </c>
      <c r="R1043" s="152" t="s">
        <v>118</v>
      </c>
      <c r="S1043" s="152" t="s">
        <v>118</v>
      </c>
      <c r="T1043" s="152">
        <v>45683.1875</v>
      </c>
      <c r="U1043" s="152">
        <v>45683.302777777775</v>
      </c>
      <c r="V1043" s="219">
        <f t="shared" ref="V1043:V1052" si="614">+Q1043-O1043</f>
        <v>0.15625</v>
      </c>
      <c r="W1043" s="203">
        <v>0.20833333333333334</v>
      </c>
      <c r="X1043" s="219" t="str">
        <f t="shared" ref="X1043:X1052" si="615">IF(VALUE(V1043)&lt;=VALUE("05:00"),"00:00",VALUE(V1043)-VALUE("05:00"))</f>
        <v>00:00</v>
      </c>
      <c r="Y1043" s="96">
        <v>0</v>
      </c>
      <c r="Z1043" s="96">
        <v>58</v>
      </c>
      <c r="AA1043" s="96">
        <f t="shared" si="584"/>
        <v>58</v>
      </c>
      <c r="AB1043" s="97">
        <f t="shared" si="585"/>
        <v>0</v>
      </c>
      <c r="AC1043" s="97">
        <f t="shared" si="586"/>
        <v>3926.92</v>
      </c>
      <c r="AD1043" s="98">
        <v>3926.92</v>
      </c>
      <c r="AE1043" s="98">
        <v>4024.4</v>
      </c>
      <c r="AF1043" s="98">
        <v>4027</v>
      </c>
      <c r="AG1043" s="98">
        <f t="shared" si="587"/>
        <v>100.07999999999993</v>
      </c>
      <c r="AH1043" s="99">
        <v>672.5</v>
      </c>
      <c r="AI1043" s="100">
        <f t="shared" si="588"/>
        <v>2708157.5</v>
      </c>
      <c r="AJ1043" s="100">
        <f>(0.4*AH1043)*2</f>
        <v>538</v>
      </c>
      <c r="AK1043" s="100">
        <v>0</v>
      </c>
      <c r="AL1043" s="100">
        <v>0</v>
      </c>
      <c r="AM1043" s="100">
        <v>0</v>
      </c>
      <c r="AN1043" s="100">
        <v>0</v>
      </c>
      <c r="AO1043" s="100">
        <v>0</v>
      </c>
      <c r="AP1043" s="100">
        <f t="shared" si="613"/>
        <v>135435</v>
      </c>
      <c r="AQ1043" s="101">
        <f t="shared" si="602"/>
        <v>2844131</v>
      </c>
      <c r="AR1043" s="101">
        <v>0</v>
      </c>
      <c r="AS1043" s="101">
        <v>0</v>
      </c>
      <c r="AT1043" s="102" t="s">
        <v>33</v>
      </c>
      <c r="AU1043" s="109" t="s">
        <v>118</v>
      </c>
      <c r="AV1043" s="100">
        <v>0</v>
      </c>
      <c r="AW1043" s="105">
        <v>0</v>
      </c>
      <c r="AX1043" s="216">
        <f t="shared" ref="AX1043:AX1051" si="616">IFERROR((AG1043/AF1043)*100, "")</f>
        <v>2.4852247330518979</v>
      </c>
      <c r="AY1043" s="217">
        <f t="shared" ref="AY1043:AY1051" si="617">ROUNDUP(AG1043*AH1043,0)</f>
        <v>67304</v>
      </c>
      <c r="AZ1043" s="107"/>
      <c r="BA1043" s="94">
        <v>45683.010416666664</v>
      </c>
      <c r="BB1043" s="94">
        <v>45683.017361111109</v>
      </c>
      <c r="BC1043" s="94">
        <v>45683.017361111109</v>
      </c>
      <c r="BD1043" s="94">
        <v>45683.126388888886</v>
      </c>
      <c r="BE1043" s="95">
        <f t="shared" ref="BE1043:BE1049" si="618">+BD1043-BA1043</f>
        <v>0.11597222222189885</v>
      </c>
      <c r="BF1043" s="95">
        <v>0</v>
      </c>
      <c r="BG1043" s="95">
        <v>0</v>
      </c>
      <c r="BH1043" s="95">
        <f t="shared" ref="BH1043:BJ1049" si="619">+BB1043-BA1043</f>
        <v>6.9444444452528842E-3</v>
      </c>
      <c r="BI1043" s="95">
        <f t="shared" si="619"/>
        <v>0</v>
      </c>
      <c r="BJ1043" s="95">
        <f t="shared" si="619"/>
        <v>0.10902777777664596</v>
      </c>
      <c r="BK1043" s="95">
        <f t="shared" ref="BK1043:BK1049" si="620">+BI1043+BJ1043</f>
        <v>0.10902777777664596</v>
      </c>
      <c r="BL1043" s="95">
        <f t="shared" ref="BL1043:BL1049" si="621">+BE1043-BH1043-BF1043-BG1043</f>
        <v>0.10902777777664596</v>
      </c>
      <c r="BM1043" s="95" t="str">
        <f t="shared" ref="BM1043:BM1049" si="622">IF(VALUE(BE1043)&lt;=VALUE("05:00"),"00:00",VALUE(BE1043)-VALUE("05:00"))</f>
        <v>00:00</v>
      </c>
      <c r="BN1043" s="110"/>
    </row>
    <row r="1044" spans="1:66" s="8" customFormat="1" ht="12.75" customHeight="1" x14ac:dyDescent="0.25">
      <c r="A1044" s="150">
        <v>961</v>
      </c>
      <c r="B1044" s="150">
        <v>87</v>
      </c>
      <c r="C1044" s="90">
        <v>3</v>
      </c>
      <c r="D1044" s="111" t="s">
        <v>148</v>
      </c>
      <c r="E1044" s="210" t="s">
        <v>1077</v>
      </c>
      <c r="F1044" s="150" t="s">
        <v>16</v>
      </c>
      <c r="G1044" s="150" t="s">
        <v>17</v>
      </c>
      <c r="H1044" s="150" t="s">
        <v>150</v>
      </c>
      <c r="I1044" s="150" t="s">
        <v>601</v>
      </c>
      <c r="J1044" s="151">
        <v>45682</v>
      </c>
      <c r="K1044" s="135" t="s">
        <v>117</v>
      </c>
      <c r="L1044" s="135">
        <v>461000700</v>
      </c>
      <c r="M1044" s="151">
        <v>45683</v>
      </c>
      <c r="N1044" s="152">
        <v>45683.166666666664</v>
      </c>
      <c r="O1044" s="152">
        <v>45683.166666666664</v>
      </c>
      <c r="P1044" s="152">
        <v>45683.170138888891</v>
      </c>
      <c r="Q1044" s="152">
        <v>45683.302083333336</v>
      </c>
      <c r="R1044" s="152" t="s">
        <v>118</v>
      </c>
      <c r="S1044" s="152" t="s">
        <v>118</v>
      </c>
      <c r="T1044" s="152">
        <v>45683.333333333336</v>
      </c>
      <c r="U1044" s="152">
        <v>45683.415972222225</v>
      </c>
      <c r="V1044" s="219">
        <f t="shared" si="614"/>
        <v>0.13541666667151731</v>
      </c>
      <c r="W1044" s="203">
        <v>0.20833333333333334</v>
      </c>
      <c r="X1044" s="219" t="str">
        <f t="shared" si="615"/>
        <v>00:00</v>
      </c>
      <c r="Y1044" s="96">
        <v>0</v>
      </c>
      <c r="Z1044" s="96">
        <v>58</v>
      </c>
      <c r="AA1044" s="96">
        <f t="shared" si="584"/>
        <v>58</v>
      </c>
      <c r="AB1044" s="97">
        <f t="shared" si="585"/>
        <v>0</v>
      </c>
      <c r="AC1044" s="97">
        <f t="shared" si="586"/>
        <v>3974.15</v>
      </c>
      <c r="AD1044" s="98">
        <v>3974.15</v>
      </c>
      <c r="AE1044" s="98">
        <v>4025.7</v>
      </c>
      <c r="AF1044" s="98">
        <v>4030.4</v>
      </c>
      <c r="AG1044" s="98">
        <f t="shared" si="587"/>
        <v>56.25</v>
      </c>
      <c r="AH1044" s="99">
        <v>672.5</v>
      </c>
      <c r="AI1044" s="100">
        <f t="shared" si="588"/>
        <v>2710444</v>
      </c>
      <c r="AJ1044" s="100">
        <f>(1*AH1044)*2</f>
        <v>1345</v>
      </c>
      <c r="AK1044" s="100">
        <v>0</v>
      </c>
      <c r="AL1044" s="100">
        <v>0</v>
      </c>
      <c r="AM1044" s="100">
        <v>0</v>
      </c>
      <c r="AN1044" s="100">
        <v>0</v>
      </c>
      <c r="AO1044" s="100">
        <v>0</v>
      </c>
      <c r="AP1044" s="100">
        <f t="shared" si="613"/>
        <v>135590</v>
      </c>
      <c r="AQ1044" s="101">
        <f t="shared" si="602"/>
        <v>2847379</v>
      </c>
      <c r="AR1044" s="101">
        <v>0</v>
      </c>
      <c r="AS1044" s="101">
        <v>0</v>
      </c>
      <c r="AT1044" s="102" t="s">
        <v>33</v>
      </c>
      <c r="AU1044" s="109" t="s">
        <v>118</v>
      </c>
      <c r="AV1044" s="100">
        <v>0</v>
      </c>
      <c r="AW1044" s="105">
        <v>0</v>
      </c>
      <c r="AX1044" s="216">
        <f t="shared" si="616"/>
        <v>1.395643112346169</v>
      </c>
      <c r="AY1044" s="217">
        <f t="shared" si="617"/>
        <v>37829</v>
      </c>
      <c r="AZ1044" s="107"/>
      <c r="BA1044" s="94">
        <v>45683.166666666664</v>
      </c>
      <c r="BB1044" s="94">
        <v>45683.170138888891</v>
      </c>
      <c r="BC1044" s="94">
        <v>45683.170138888891</v>
      </c>
      <c r="BD1044" s="94">
        <v>45683.28125</v>
      </c>
      <c r="BE1044" s="95">
        <f t="shared" si="618"/>
        <v>0.11458333333575865</v>
      </c>
      <c r="BF1044" s="95">
        <v>0</v>
      </c>
      <c r="BG1044" s="95">
        <v>0</v>
      </c>
      <c r="BH1044" s="95">
        <f t="shared" si="619"/>
        <v>3.4722222262644209E-3</v>
      </c>
      <c r="BI1044" s="95">
        <f t="shared" si="619"/>
        <v>0</v>
      </c>
      <c r="BJ1044" s="95">
        <f t="shared" si="619"/>
        <v>0.11111111110949423</v>
      </c>
      <c r="BK1044" s="95">
        <f t="shared" si="620"/>
        <v>0.11111111110949423</v>
      </c>
      <c r="BL1044" s="95">
        <f t="shared" si="621"/>
        <v>0.11111111110949423</v>
      </c>
      <c r="BM1044" s="95" t="str">
        <f t="shared" si="622"/>
        <v>00:00</v>
      </c>
      <c r="BN1044" s="110"/>
    </row>
    <row r="1045" spans="1:66" s="8" customFormat="1" ht="12.75" customHeight="1" x14ac:dyDescent="0.25">
      <c r="A1045" s="150">
        <v>962</v>
      </c>
      <c r="B1045" s="150">
        <v>88</v>
      </c>
      <c r="C1045" s="90">
        <v>4</v>
      </c>
      <c r="D1045" s="111" t="s">
        <v>148</v>
      </c>
      <c r="E1045" s="210" t="s">
        <v>1077</v>
      </c>
      <c r="F1045" s="150" t="s">
        <v>16</v>
      </c>
      <c r="G1045" s="150" t="s">
        <v>17</v>
      </c>
      <c r="H1045" s="150" t="s">
        <v>150</v>
      </c>
      <c r="I1045" s="150" t="s">
        <v>603</v>
      </c>
      <c r="J1045" s="151">
        <v>45682</v>
      </c>
      <c r="K1045" s="135" t="s">
        <v>122</v>
      </c>
      <c r="L1045" s="135">
        <v>461000701</v>
      </c>
      <c r="M1045" s="151">
        <v>45683</v>
      </c>
      <c r="N1045" s="152">
        <v>45683.572916666664</v>
      </c>
      <c r="O1045" s="152">
        <v>45683.572916666664</v>
      </c>
      <c r="P1045" s="152">
        <v>45683.576388888891</v>
      </c>
      <c r="Q1045" s="152">
        <v>45683.697916666664</v>
      </c>
      <c r="R1045" s="152" t="s">
        <v>118</v>
      </c>
      <c r="S1045" s="152" t="s">
        <v>118</v>
      </c>
      <c r="T1045" s="152">
        <v>45683.708333333336</v>
      </c>
      <c r="U1045" s="152">
        <v>45683.819444444445</v>
      </c>
      <c r="V1045" s="219">
        <f t="shared" si="614"/>
        <v>0.125</v>
      </c>
      <c r="W1045" s="203">
        <v>0.20833333333333334</v>
      </c>
      <c r="X1045" s="219" t="str">
        <f t="shared" si="615"/>
        <v>00:00</v>
      </c>
      <c r="Y1045" s="96">
        <v>0</v>
      </c>
      <c r="Z1045" s="96">
        <v>58</v>
      </c>
      <c r="AA1045" s="96">
        <f t="shared" si="584"/>
        <v>58</v>
      </c>
      <c r="AB1045" s="97">
        <f t="shared" si="585"/>
        <v>0</v>
      </c>
      <c r="AC1045" s="97">
        <f t="shared" si="586"/>
        <v>3961.31</v>
      </c>
      <c r="AD1045" s="98">
        <v>3961.31</v>
      </c>
      <c r="AE1045" s="98">
        <v>4026.1</v>
      </c>
      <c r="AF1045" s="98">
        <v>4035.8</v>
      </c>
      <c r="AG1045" s="98">
        <f t="shared" si="587"/>
        <v>74.490000000000236</v>
      </c>
      <c r="AH1045" s="99">
        <v>672.5</v>
      </c>
      <c r="AI1045" s="100">
        <f t="shared" si="588"/>
        <v>2714075.5</v>
      </c>
      <c r="AJ1045" s="100">
        <f>(0*AH1045)*2</f>
        <v>0</v>
      </c>
      <c r="AK1045" s="100">
        <v>0</v>
      </c>
      <c r="AL1045" s="100">
        <v>24140</v>
      </c>
      <c r="AM1045" s="100">
        <v>0</v>
      </c>
      <c r="AN1045" s="100">
        <v>0</v>
      </c>
      <c r="AO1045" s="100">
        <v>0</v>
      </c>
      <c r="AP1045" s="100">
        <f t="shared" si="613"/>
        <v>136911</v>
      </c>
      <c r="AQ1045" s="101">
        <f t="shared" ref="AQ1045:AQ1076" si="623">ROUNDUP(SUM(AI1045:AP1045),0)</f>
        <v>2875127</v>
      </c>
      <c r="AR1045" s="101">
        <v>0</v>
      </c>
      <c r="AS1045" s="101">
        <v>0</v>
      </c>
      <c r="AT1045" s="102" t="s">
        <v>33</v>
      </c>
      <c r="AU1045" s="109">
        <v>8</v>
      </c>
      <c r="AV1045" s="100">
        <f>11.8-7.3</f>
        <v>4.5000000000000009</v>
      </c>
      <c r="AW1045" s="105">
        <v>0</v>
      </c>
      <c r="AX1045" s="216">
        <f t="shared" si="616"/>
        <v>1.8457307101442153</v>
      </c>
      <c r="AY1045" s="217">
        <f t="shared" si="617"/>
        <v>50095</v>
      </c>
      <c r="AZ1045" s="107"/>
      <c r="BA1045" s="94">
        <v>45683.572916666664</v>
      </c>
      <c r="BB1045" s="94">
        <v>45683.576388888891</v>
      </c>
      <c r="BC1045" s="94">
        <v>45683.576388888891</v>
      </c>
      <c r="BD1045" s="94">
        <v>45683.680555555555</v>
      </c>
      <c r="BE1045" s="95">
        <f t="shared" si="618"/>
        <v>0.10763888889050577</v>
      </c>
      <c r="BF1045" s="95">
        <v>0</v>
      </c>
      <c r="BG1045" s="95">
        <v>0</v>
      </c>
      <c r="BH1045" s="95">
        <f t="shared" si="619"/>
        <v>3.4722222262644209E-3</v>
      </c>
      <c r="BI1045" s="95">
        <f t="shared" si="619"/>
        <v>0</v>
      </c>
      <c r="BJ1045" s="95">
        <f t="shared" si="619"/>
        <v>0.10416666666424135</v>
      </c>
      <c r="BK1045" s="95">
        <f t="shared" si="620"/>
        <v>0.10416666666424135</v>
      </c>
      <c r="BL1045" s="95">
        <f t="shared" si="621"/>
        <v>0.10416666666424135</v>
      </c>
      <c r="BM1045" s="95" t="str">
        <f t="shared" si="622"/>
        <v>00:00</v>
      </c>
      <c r="BN1045" s="110"/>
    </row>
    <row r="1046" spans="1:66" s="8" customFormat="1" ht="12.75" customHeight="1" x14ac:dyDescent="0.25">
      <c r="A1046" s="150">
        <v>963</v>
      </c>
      <c r="B1046" s="150">
        <v>89</v>
      </c>
      <c r="C1046" s="90">
        <v>5</v>
      </c>
      <c r="D1046" s="111" t="s">
        <v>148</v>
      </c>
      <c r="E1046" s="210" t="s">
        <v>1077</v>
      </c>
      <c r="F1046" s="150" t="s">
        <v>16</v>
      </c>
      <c r="G1046" s="150" t="s">
        <v>17</v>
      </c>
      <c r="H1046" s="150" t="s">
        <v>150</v>
      </c>
      <c r="I1046" s="150" t="s">
        <v>605</v>
      </c>
      <c r="J1046" s="151">
        <v>45682</v>
      </c>
      <c r="K1046" s="135" t="s">
        <v>117</v>
      </c>
      <c r="L1046" s="135">
        <v>461000702</v>
      </c>
      <c r="M1046" s="151">
        <v>45684</v>
      </c>
      <c r="N1046" s="152">
        <v>45683.822916666664</v>
      </c>
      <c r="O1046" s="152">
        <v>45683.822916666664</v>
      </c>
      <c r="P1046" s="152">
        <v>45683.826388888891</v>
      </c>
      <c r="Q1046" s="152">
        <v>45684.03125</v>
      </c>
      <c r="R1046" s="152" t="s">
        <v>118</v>
      </c>
      <c r="S1046" s="152" t="s">
        <v>118</v>
      </c>
      <c r="T1046" s="152">
        <v>45684.041666666664</v>
      </c>
      <c r="U1046" s="152">
        <v>45684.179861111108</v>
      </c>
      <c r="V1046" s="219">
        <f t="shared" si="614"/>
        <v>0.20833333333575865</v>
      </c>
      <c r="W1046" s="203">
        <v>0.20833333333333334</v>
      </c>
      <c r="X1046" s="219">
        <f t="shared" si="615"/>
        <v>2.4253099528692701E-12</v>
      </c>
      <c r="Y1046" s="96">
        <v>0</v>
      </c>
      <c r="Z1046" s="96">
        <v>59</v>
      </c>
      <c r="AA1046" s="96">
        <f t="shared" si="584"/>
        <v>59</v>
      </c>
      <c r="AB1046" s="97">
        <f t="shared" si="585"/>
        <v>0</v>
      </c>
      <c r="AC1046" s="97">
        <f t="shared" si="586"/>
        <v>4073.86</v>
      </c>
      <c r="AD1046" s="98">
        <v>4073.86</v>
      </c>
      <c r="AE1046" s="98">
        <v>4090.4</v>
      </c>
      <c r="AF1046" s="98">
        <v>4109</v>
      </c>
      <c r="AG1046" s="98">
        <f t="shared" si="587"/>
        <v>35.139999999999873</v>
      </c>
      <c r="AH1046" s="99">
        <v>672.5</v>
      </c>
      <c r="AI1046" s="100">
        <f t="shared" si="588"/>
        <v>2763302.5</v>
      </c>
      <c r="AJ1046" s="100">
        <f>(1.8*AH1046)*2</f>
        <v>2421</v>
      </c>
      <c r="AK1046" s="100">
        <v>0</v>
      </c>
      <c r="AL1046" s="100">
        <v>0</v>
      </c>
      <c r="AM1046" s="100">
        <v>0</v>
      </c>
      <c r="AN1046" s="100">
        <v>0</v>
      </c>
      <c r="AO1046" s="100">
        <v>0</v>
      </c>
      <c r="AP1046" s="100">
        <f t="shared" si="613"/>
        <v>138287</v>
      </c>
      <c r="AQ1046" s="101">
        <f t="shared" si="623"/>
        <v>2904011</v>
      </c>
      <c r="AR1046" s="101">
        <v>0</v>
      </c>
      <c r="AS1046" s="101">
        <v>0</v>
      </c>
      <c r="AT1046" s="102" t="s">
        <v>33</v>
      </c>
      <c r="AU1046" s="109" t="s">
        <v>118</v>
      </c>
      <c r="AV1046" s="100">
        <v>0</v>
      </c>
      <c r="AW1046" s="105">
        <v>0</v>
      </c>
      <c r="AX1046" s="216">
        <f t="shared" si="616"/>
        <v>0.85519591141396623</v>
      </c>
      <c r="AY1046" s="217">
        <f t="shared" si="617"/>
        <v>23632</v>
      </c>
      <c r="AZ1046" s="107"/>
      <c r="BA1046" s="94">
        <v>45683.822916666664</v>
      </c>
      <c r="BB1046" s="94">
        <v>45683.826388888891</v>
      </c>
      <c r="BC1046" s="94">
        <v>45683.826388888891</v>
      </c>
      <c r="BD1046" s="94">
        <v>45684.0625</v>
      </c>
      <c r="BE1046" s="95">
        <f t="shared" si="618"/>
        <v>0.23958333333575865</v>
      </c>
      <c r="BF1046" s="95">
        <v>0</v>
      </c>
      <c r="BG1046" s="95">
        <v>0.1111111111111111</v>
      </c>
      <c r="BH1046" s="95">
        <f t="shared" si="619"/>
        <v>3.4722222262644209E-3</v>
      </c>
      <c r="BI1046" s="95">
        <f t="shared" si="619"/>
        <v>0</v>
      </c>
      <c r="BJ1046" s="95">
        <f t="shared" si="619"/>
        <v>0.23611111110949423</v>
      </c>
      <c r="BK1046" s="95">
        <f t="shared" si="620"/>
        <v>0.23611111110949423</v>
      </c>
      <c r="BL1046" s="95">
        <f t="shared" si="621"/>
        <v>0.12499999999838313</v>
      </c>
      <c r="BM1046" s="95">
        <f t="shared" si="622"/>
        <v>3.125000000242531E-2</v>
      </c>
      <c r="BN1046" s="110"/>
    </row>
    <row r="1047" spans="1:66" s="8" customFormat="1" ht="12.75" customHeight="1" x14ac:dyDescent="0.25">
      <c r="A1047" s="150">
        <v>964</v>
      </c>
      <c r="B1047" s="150">
        <v>90</v>
      </c>
      <c r="C1047" s="90">
        <v>6</v>
      </c>
      <c r="D1047" s="111" t="s">
        <v>148</v>
      </c>
      <c r="E1047" s="210" t="s">
        <v>1077</v>
      </c>
      <c r="F1047" s="150" t="s">
        <v>16</v>
      </c>
      <c r="G1047" s="150" t="s">
        <v>17</v>
      </c>
      <c r="H1047" s="150" t="s">
        <v>150</v>
      </c>
      <c r="I1047" s="150" t="s">
        <v>609</v>
      </c>
      <c r="J1047" s="151">
        <v>45682</v>
      </c>
      <c r="K1047" s="135" t="s">
        <v>122</v>
      </c>
      <c r="L1047" s="135">
        <v>461000703</v>
      </c>
      <c r="M1047" s="151">
        <v>45684</v>
      </c>
      <c r="N1047" s="152">
        <v>45684.072916666664</v>
      </c>
      <c r="O1047" s="152">
        <v>45684.072916666664</v>
      </c>
      <c r="P1047" s="152">
        <v>45684.076388888891</v>
      </c>
      <c r="Q1047" s="152">
        <v>45684.239583333336</v>
      </c>
      <c r="R1047" s="152" t="s">
        <v>118</v>
      </c>
      <c r="S1047" s="152" t="s">
        <v>118</v>
      </c>
      <c r="T1047" s="152">
        <v>45684.291666666664</v>
      </c>
      <c r="U1047" s="152">
        <v>45684.393750000003</v>
      </c>
      <c r="V1047" s="219">
        <f t="shared" si="614"/>
        <v>0.16666666667151731</v>
      </c>
      <c r="W1047" s="203">
        <v>0.20833333333333334</v>
      </c>
      <c r="X1047" s="219" t="str">
        <f t="shared" si="615"/>
        <v>00:00</v>
      </c>
      <c r="Y1047" s="96">
        <v>0</v>
      </c>
      <c r="Z1047" s="96">
        <v>59</v>
      </c>
      <c r="AA1047" s="96">
        <f t="shared" si="584"/>
        <v>59</v>
      </c>
      <c r="AB1047" s="97">
        <f t="shared" si="585"/>
        <v>0</v>
      </c>
      <c r="AC1047" s="97">
        <f t="shared" si="586"/>
        <v>4005.89</v>
      </c>
      <c r="AD1047" s="98">
        <v>4005.89</v>
      </c>
      <c r="AE1047" s="98">
        <v>4106</v>
      </c>
      <c r="AF1047" s="98">
        <v>4106.2</v>
      </c>
      <c r="AG1047" s="98">
        <f t="shared" si="587"/>
        <v>100.30999999999995</v>
      </c>
      <c r="AH1047" s="99">
        <v>672.5</v>
      </c>
      <c r="AI1047" s="100">
        <f t="shared" si="588"/>
        <v>2761419.5</v>
      </c>
      <c r="AJ1047" s="100">
        <f>(0*AH1047)*2</f>
        <v>0</v>
      </c>
      <c r="AK1047" s="100">
        <v>0</v>
      </c>
      <c r="AL1047" s="100">
        <v>0</v>
      </c>
      <c r="AM1047" s="100">
        <v>0</v>
      </c>
      <c r="AN1047" s="100">
        <v>0</v>
      </c>
      <c r="AO1047" s="100">
        <v>0</v>
      </c>
      <c r="AP1047" s="100">
        <f t="shared" si="613"/>
        <v>138071</v>
      </c>
      <c r="AQ1047" s="101">
        <f t="shared" si="623"/>
        <v>2899491</v>
      </c>
      <c r="AR1047" s="101">
        <v>0</v>
      </c>
      <c r="AS1047" s="101">
        <v>0</v>
      </c>
      <c r="AT1047" s="102" t="s">
        <v>33</v>
      </c>
      <c r="AU1047" s="109" t="s">
        <v>118</v>
      </c>
      <c r="AV1047" s="100">
        <v>0</v>
      </c>
      <c r="AW1047" s="105">
        <v>0</v>
      </c>
      <c r="AX1047" s="216">
        <f t="shared" si="616"/>
        <v>2.4428912376406395</v>
      </c>
      <c r="AY1047" s="217">
        <f t="shared" si="617"/>
        <v>67459</v>
      </c>
      <c r="AZ1047" s="107"/>
      <c r="BA1047" s="94">
        <v>45684.072916666664</v>
      </c>
      <c r="BB1047" s="94">
        <v>45684.076388888891</v>
      </c>
      <c r="BC1047" s="94">
        <v>45684.076388888891</v>
      </c>
      <c r="BD1047" s="94">
        <v>45684.204861111109</v>
      </c>
      <c r="BE1047" s="95">
        <f t="shared" si="618"/>
        <v>0.13194444444525288</v>
      </c>
      <c r="BF1047" s="95">
        <v>0</v>
      </c>
      <c r="BG1047" s="95">
        <v>0</v>
      </c>
      <c r="BH1047" s="95">
        <f t="shared" si="619"/>
        <v>3.4722222262644209E-3</v>
      </c>
      <c r="BI1047" s="95">
        <f t="shared" si="619"/>
        <v>0</v>
      </c>
      <c r="BJ1047" s="95">
        <f t="shared" si="619"/>
        <v>0.12847222221898846</v>
      </c>
      <c r="BK1047" s="95">
        <f t="shared" si="620"/>
        <v>0.12847222221898846</v>
      </c>
      <c r="BL1047" s="95">
        <f t="shared" si="621"/>
        <v>0.12847222221898846</v>
      </c>
      <c r="BM1047" s="95" t="str">
        <f t="shared" si="622"/>
        <v>00:00</v>
      </c>
      <c r="BN1047" s="110"/>
    </row>
    <row r="1048" spans="1:66" s="8" customFormat="1" ht="12.75" customHeight="1" x14ac:dyDescent="0.25">
      <c r="A1048" s="150">
        <v>965</v>
      </c>
      <c r="B1048" s="150">
        <v>91</v>
      </c>
      <c r="C1048" s="90">
        <v>7</v>
      </c>
      <c r="D1048" s="111" t="s">
        <v>148</v>
      </c>
      <c r="E1048" s="210" t="s">
        <v>1077</v>
      </c>
      <c r="F1048" s="150" t="s">
        <v>16</v>
      </c>
      <c r="G1048" s="150" t="s">
        <v>17</v>
      </c>
      <c r="H1048" s="150" t="s">
        <v>150</v>
      </c>
      <c r="I1048" s="150" t="s">
        <v>610</v>
      </c>
      <c r="J1048" s="151">
        <v>45682</v>
      </c>
      <c r="K1048" s="135" t="s">
        <v>117</v>
      </c>
      <c r="L1048" s="135">
        <v>461000704</v>
      </c>
      <c r="M1048" s="151">
        <v>45684</v>
      </c>
      <c r="N1048" s="152">
        <v>45684.229166666664</v>
      </c>
      <c r="O1048" s="152">
        <v>45684.229166666664</v>
      </c>
      <c r="P1048" s="152">
        <v>45684.232638888891</v>
      </c>
      <c r="Q1048" s="152">
        <v>45684.395833333336</v>
      </c>
      <c r="R1048" s="152" t="s">
        <v>118</v>
      </c>
      <c r="S1048" s="152" t="s">
        <v>118</v>
      </c>
      <c r="T1048" s="152">
        <v>45684.479166666664</v>
      </c>
      <c r="U1048" s="152">
        <v>45684.65</v>
      </c>
      <c r="V1048" s="219">
        <f t="shared" si="614"/>
        <v>0.16666666667151731</v>
      </c>
      <c r="W1048" s="203">
        <v>0.20833333333333334</v>
      </c>
      <c r="X1048" s="219" t="str">
        <f t="shared" si="615"/>
        <v>00:00</v>
      </c>
      <c r="Y1048" s="96">
        <v>0</v>
      </c>
      <c r="Z1048" s="96">
        <v>59</v>
      </c>
      <c r="AA1048" s="96">
        <f t="shared" si="584"/>
        <v>59</v>
      </c>
      <c r="AB1048" s="97">
        <f t="shared" si="585"/>
        <v>0</v>
      </c>
      <c r="AC1048" s="97">
        <f t="shared" si="586"/>
        <v>4062.89</v>
      </c>
      <c r="AD1048" s="98">
        <v>4062.89</v>
      </c>
      <c r="AE1048" s="98">
        <v>4114.8</v>
      </c>
      <c r="AF1048" s="98">
        <v>4118.8</v>
      </c>
      <c r="AG1048" s="98">
        <f t="shared" si="587"/>
        <v>55.910000000000309</v>
      </c>
      <c r="AH1048" s="99">
        <v>672.5</v>
      </c>
      <c r="AI1048" s="100">
        <f t="shared" si="588"/>
        <v>2769893</v>
      </c>
      <c r="AJ1048" s="100">
        <f>(0.8*AH1048)*2</f>
        <v>1076</v>
      </c>
      <c r="AK1048" s="100">
        <v>0</v>
      </c>
      <c r="AL1048" s="100">
        <v>0</v>
      </c>
      <c r="AM1048" s="100">
        <v>0</v>
      </c>
      <c r="AN1048" s="100">
        <v>0</v>
      </c>
      <c r="AO1048" s="100">
        <v>0</v>
      </c>
      <c r="AP1048" s="100">
        <f t="shared" si="613"/>
        <v>138549</v>
      </c>
      <c r="AQ1048" s="101">
        <f t="shared" si="623"/>
        <v>2909518</v>
      </c>
      <c r="AR1048" s="101">
        <v>0</v>
      </c>
      <c r="AS1048" s="101">
        <v>0</v>
      </c>
      <c r="AT1048" s="102" t="s">
        <v>33</v>
      </c>
      <c r="AU1048" s="109" t="s">
        <v>118</v>
      </c>
      <c r="AV1048" s="100">
        <v>0</v>
      </c>
      <c r="AW1048" s="105">
        <v>0</v>
      </c>
      <c r="AX1048" s="216">
        <f t="shared" si="616"/>
        <v>1.3574342041371348</v>
      </c>
      <c r="AY1048" s="217">
        <f t="shared" si="617"/>
        <v>37600</v>
      </c>
      <c r="AZ1048" s="107"/>
      <c r="BA1048" s="94">
        <v>45684.229166666664</v>
      </c>
      <c r="BB1048" s="94">
        <v>45684.232638888891</v>
      </c>
      <c r="BC1048" s="94">
        <v>45684.239583333336</v>
      </c>
      <c r="BD1048" s="94">
        <v>45684.364583333336</v>
      </c>
      <c r="BE1048" s="95">
        <f t="shared" si="618"/>
        <v>0.13541666667151731</v>
      </c>
      <c r="BF1048" s="95">
        <v>6.9444444444444441E-3</v>
      </c>
      <c r="BG1048" s="95">
        <v>6.9444444444444441E-3</v>
      </c>
      <c r="BH1048" s="95">
        <f t="shared" si="619"/>
        <v>3.4722222262644209E-3</v>
      </c>
      <c r="BI1048" s="95">
        <f t="shared" si="619"/>
        <v>6.9444444452528842E-3</v>
      </c>
      <c r="BJ1048" s="95">
        <f t="shared" si="619"/>
        <v>0.125</v>
      </c>
      <c r="BK1048" s="95">
        <f t="shared" si="620"/>
        <v>0.13194444444525288</v>
      </c>
      <c r="BL1048" s="95">
        <f t="shared" si="621"/>
        <v>0.11805555555636399</v>
      </c>
      <c r="BM1048" s="95" t="str">
        <f t="shared" si="622"/>
        <v>00:00</v>
      </c>
      <c r="BN1048" s="110"/>
    </row>
    <row r="1049" spans="1:66" s="8" customFormat="1" ht="12.75" customHeight="1" x14ac:dyDescent="0.25">
      <c r="A1049" s="150">
        <v>966</v>
      </c>
      <c r="B1049" s="150">
        <v>92</v>
      </c>
      <c r="C1049" s="90">
        <v>8</v>
      </c>
      <c r="D1049" s="111" t="s">
        <v>148</v>
      </c>
      <c r="E1049" s="210" t="s">
        <v>1077</v>
      </c>
      <c r="F1049" s="150" t="s">
        <v>16</v>
      </c>
      <c r="G1049" s="150" t="s">
        <v>17</v>
      </c>
      <c r="H1049" s="150" t="s">
        <v>150</v>
      </c>
      <c r="I1049" s="150" t="s">
        <v>613</v>
      </c>
      <c r="J1049" s="151">
        <v>45683</v>
      </c>
      <c r="K1049" s="135" t="s">
        <v>122</v>
      </c>
      <c r="L1049" s="135">
        <v>461000705</v>
      </c>
      <c r="M1049" s="151">
        <v>45684</v>
      </c>
      <c r="N1049" s="152">
        <v>45684.458333333336</v>
      </c>
      <c r="O1049" s="152">
        <v>45684.447916666664</v>
      </c>
      <c r="P1049" s="152">
        <v>45684.461805555555</v>
      </c>
      <c r="Q1049" s="152">
        <v>45684.65625</v>
      </c>
      <c r="R1049" s="152">
        <v>45684.458333333336</v>
      </c>
      <c r="S1049" s="152">
        <v>45684.697916666664</v>
      </c>
      <c r="T1049" s="152">
        <v>45684.729166666664</v>
      </c>
      <c r="U1049" s="152">
        <v>45684.818055555559</v>
      </c>
      <c r="V1049" s="219">
        <f t="shared" si="614"/>
        <v>0.20833333333575865</v>
      </c>
      <c r="W1049" s="203">
        <v>0.20833333333333334</v>
      </c>
      <c r="X1049" s="219">
        <f t="shared" si="615"/>
        <v>2.4253099528692701E-12</v>
      </c>
      <c r="Y1049" s="96">
        <v>0</v>
      </c>
      <c r="Z1049" s="96">
        <v>59</v>
      </c>
      <c r="AA1049" s="96">
        <f t="shared" ref="AA1049:AA1112" si="624">+Y1049+Z1049</f>
        <v>59</v>
      </c>
      <c r="AB1049" s="97">
        <f t="shared" ref="AB1049:AB1112" si="625">+AD1049/AA1049*Y1049</f>
        <v>0</v>
      </c>
      <c r="AC1049" s="97">
        <f t="shared" ref="AC1049:AC1112" si="626">+AD1049/AA1049*Z1049</f>
        <v>4025.6900000000005</v>
      </c>
      <c r="AD1049" s="98">
        <v>4025.69</v>
      </c>
      <c r="AE1049" s="98">
        <v>4102.8999999999996</v>
      </c>
      <c r="AF1049" s="98">
        <v>4104.8</v>
      </c>
      <c r="AG1049" s="98">
        <f t="shared" ref="AG1049:AG1112" si="627">+AF1049-AD1049</f>
        <v>79.110000000000127</v>
      </c>
      <c r="AH1049" s="99">
        <v>672.5</v>
      </c>
      <c r="AI1049" s="100">
        <f t="shared" ref="AI1049:AI1112" si="628">+AF1049*AH1049</f>
        <v>2760478</v>
      </c>
      <c r="AJ1049" s="100">
        <f t="shared" ref="AJ1049:AJ1058" si="629">(0*AH1049)*2</f>
        <v>0</v>
      </c>
      <c r="AK1049" s="100">
        <v>0</v>
      </c>
      <c r="AL1049" s="100">
        <v>0</v>
      </c>
      <c r="AM1049" s="100">
        <v>0</v>
      </c>
      <c r="AN1049" s="100">
        <v>0</v>
      </c>
      <c r="AO1049" s="100">
        <v>0</v>
      </c>
      <c r="AP1049" s="100">
        <f t="shared" si="613"/>
        <v>138024</v>
      </c>
      <c r="AQ1049" s="101">
        <f t="shared" si="623"/>
        <v>2898502</v>
      </c>
      <c r="AR1049" s="101">
        <v>0</v>
      </c>
      <c r="AS1049" s="101">
        <v>0</v>
      </c>
      <c r="AT1049" s="102" t="s">
        <v>33</v>
      </c>
      <c r="AU1049" s="109" t="s">
        <v>118</v>
      </c>
      <c r="AV1049" s="100">
        <v>0</v>
      </c>
      <c r="AW1049" s="105">
        <v>0</v>
      </c>
      <c r="AX1049" s="216">
        <f t="shared" si="616"/>
        <v>1.9272558955369354</v>
      </c>
      <c r="AY1049" s="217">
        <f t="shared" si="617"/>
        <v>53202</v>
      </c>
      <c r="AZ1049" s="107"/>
      <c r="BA1049" s="94">
        <v>45684.458333333336</v>
      </c>
      <c r="BB1049" s="94">
        <v>45684.461805555555</v>
      </c>
      <c r="BC1049" s="94">
        <v>45684.479166666664</v>
      </c>
      <c r="BD1049" s="94">
        <v>45684.648611111108</v>
      </c>
      <c r="BE1049" s="95">
        <f t="shared" si="618"/>
        <v>0.19027777777228039</v>
      </c>
      <c r="BF1049" s="95">
        <v>9.5138888888888884E-2</v>
      </c>
      <c r="BG1049" s="95">
        <v>1.0416666666666666E-2</v>
      </c>
      <c r="BH1049" s="95">
        <f t="shared" si="619"/>
        <v>3.4722222189884633E-3</v>
      </c>
      <c r="BI1049" s="95">
        <f t="shared" si="619"/>
        <v>1.7361111109494232E-2</v>
      </c>
      <c r="BJ1049" s="95">
        <f t="shared" si="619"/>
        <v>0.16944444444379769</v>
      </c>
      <c r="BK1049" s="95">
        <f t="shared" si="620"/>
        <v>0.18680555555329192</v>
      </c>
      <c r="BL1049" s="95">
        <f t="shared" si="621"/>
        <v>8.1249999997736369E-2</v>
      </c>
      <c r="BM1049" s="95" t="str">
        <f t="shared" si="622"/>
        <v>00:00</v>
      </c>
      <c r="BN1049" s="110"/>
    </row>
    <row r="1050" spans="1:66" s="8" customFormat="1" ht="12.75" customHeight="1" x14ac:dyDescent="0.25">
      <c r="A1050" s="150">
        <v>967</v>
      </c>
      <c r="B1050" s="150">
        <v>93</v>
      </c>
      <c r="C1050" s="90">
        <v>12</v>
      </c>
      <c r="D1050" s="111" t="s">
        <v>113</v>
      </c>
      <c r="E1050" s="210" t="s">
        <v>1024</v>
      </c>
      <c r="F1050" s="150" t="s">
        <v>32</v>
      </c>
      <c r="G1050" s="150" t="s">
        <v>15</v>
      </c>
      <c r="H1050" s="150" t="s">
        <v>146</v>
      </c>
      <c r="I1050" s="150" t="s">
        <v>703</v>
      </c>
      <c r="J1050" s="151">
        <v>45684</v>
      </c>
      <c r="K1050" s="135" t="s">
        <v>117</v>
      </c>
      <c r="L1050" s="135">
        <v>261006215</v>
      </c>
      <c r="M1050" s="151">
        <v>45685</v>
      </c>
      <c r="N1050" s="152">
        <v>45684.715277777781</v>
      </c>
      <c r="O1050" s="152">
        <v>45684.715277777781</v>
      </c>
      <c r="P1050" s="152">
        <v>45684.722222222219</v>
      </c>
      <c r="Q1050" s="152">
        <v>45684.90625</v>
      </c>
      <c r="R1050" s="152" t="s">
        <v>118</v>
      </c>
      <c r="S1050" s="152" t="s">
        <v>118</v>
      </c>
      <c r="T1050" s="152">
        <v>45684.979166666664</v>
      </c>
      <c r="U1050" s="152">
        <v>45685.160416666666</v>
      </c>
      <c r="V1050" s="219">
        <f t="shared" si="614"/>
        <v>0.19097222221898846</v>
      </c>
      <c r="W1050" s="203">
        <v>0.20833333333333334</v>
      </c>
      <c r="X1050" s="219" t="str">
        <f t="shared" si="615"/>
        <v>00:00</v>
      </c>
      <c r="Y1050" s="96">
        <v>0</v>
      </c>
      <c r="Z1050" s="96">
        <v>58</v>
      </c>
      <c r="AA1050" s="96">
        <f t="shared" si="624"/>
        <v>58</v>
      </c>
      <c r="AB1050" s="97">
        <f t="shared" si="625"/>
        <v>0</v>
      </c>
      <c r="AC1050" s="97">
        <f t="shared" si="626"/>
        <v>3796.0899999999997</v>
      </c>
      <c r="AD1050" s="98">
        <v>3796.09</v>
      </c>
      <c r="AE1050" s="98">
        <v>4037.4</v>
      </c>
      <c r="AF1050" s="98">
        <v>4037.4</v>
      </c>
      <c r="AG1050" s="98">
        <f t="shared" si="627"/>
        <v>241.30999999999995</v>
      </c>
      <c r="AH1050" s="99">
        <v>1398.7</v>
      </c>
      <c r="AI1050" s="100">
        <f t="shared" si="628"/>
        <v>5647111.3799999999</v>
      </c>
      <c r="AJ1050" s="100">
        <f t="shared" si="629"/>
        <v>0</v>
      </c>
      <c r="AK1050" s="100">
        <v>0</v>
      </c>
      <c r="AL1050" s="100">
        <v>0</v>
      </c>
      <c r="AM1050" s="100">
        <v>0</v>
      </c>
      <c r="AN1050" s="100">
        <v>0</v>
      </c>
      <c r="AO1050" s="100">
        <v>0</v>
      </c>
      <c r="AP1050" s="100">
        <f t="shared" si="613"/>
        <v>282356</v>
      </c>
      <c r="AQ1050" s="101">
        <f t="shared" si="623"/>
        <v>5929468</v>
      </c>
      <c r="AR1050" s="101">
        <v>0</v>
      </c>
      <c r="AS1050" s="101">
        <v>0</v>
      </c>
      <c r="AT1050" s="102" t="s">
        <v>33</v>
      </c>
      <c r="AU1050" s="109" t="s">
        <v>118</v>
      </c>
      <c r="AV1050" s="100">
        <v>0</v>
      </c>
      <c r="AW1050" s="105">
        <v>0</v>
      </c>
      <c r="AX1050" s="216">
        <f t="shared" si="616"/>
        <v>5.9768663000941187</v>
      </c>
      <c r="AY1050" s="217">
        <f t="shared" si="617"/>
        <v>337521</v>
      </c>
      <c r="AZ1050" s="107"/>
      <c r="BA1050" s="94"/>
      <c r="BB1050" s="94"/>
      <c r="BC1050" s="94"/>
      <c r="BD1050" s="94"/>
      <c r="BE1050" s="95"/>
      <c r="BF1050" s="95"/>
      <c r="BG1050" s="95"/>
      <c r="BH1050" s="95"/>
      <c r="BI1050" s="95"/>
      <c r="BJ1050" s="95"/>
      <c r="BK1050" s="95"/>
      <c r="BL1050" s="95"/>
      <c r="BM1050" s="95"/>
      <c r="BN1050" s="110"/>
    </row>
    <row r="1051" spans="1:66" s="8" customFormat="1" ht="12.75" customHeight="1" x14ac:dyDescent="0.25">
      <c r="A1051" s="150">
        <v>968</v>
      </c>
      <c r="B1051" s="150">
        <v>94</v>
      </c>
      <c r="C1051" s="90">
        <v>9</v>
      </c>
      <c r="D1051" s="111" t="s">
        <v>148</v>
      </c>
      <c r="E1051" s="210" t="s">
        <v>1077</v>
      </c>
      <c r="F1051" s="150" t="s">
        <v>16</v>
      </c>
      <c r="G1051" s="150" t="s">
        <v>17</v>
      </c>
      <c r="H1051" s="150" t="s">
        <v>150</v>
      </c>
      <c r="I1051" s="150" t="s">
        <v>615</v>
      </c>
      <c r="J1051" s="151">
        <v>45683</v>
      </c>
      <c r="K1051" s="135" t="s">
        <v>122</v>
      </c>
      <c r="L1051" s="135">
        <v>461000706</v>
      </c>
      <c r="M1051" s="151">
        <v>45685</v>
      </c>
      <c r="N1051" s="152">
        <v>45685.28125</v>
      </c>
      <c r="O1051" s="152">
        <v>45685.28125</v>
      </c>
      <c r="P1051" s="152">
        <v>45685.295138888891</v>
      </c>
      <c r="Q1051" s="152">
        <v>45685.479166666664</v>
      </c>
      <c r="R1051" s="152" t="s">
        <v>118</v>
      </c>
      <c r="S1051" s="152" t="s">
        <v>118</v>
      </c>
      <c r="T1051" s="152">
        <v>45685.489583333336</v>
      </c>
      <c r="U1051" s="152">
        <v>45685.621527777781</v>
      </c>
      <c r="V1051" s="219">
        <f t="shared" si="614"/>
        <v>0.19791666666424135</v>
      </c>
      <c r="W1051" s="203">
        <v>0.20833333333333334</v>
      </c>
      <c r="X1051" s="219" t="str">
        <f t="shared" si="615"/>
        <v>00:00</v>
      </c>
      <c r="Y1051" s="96">
        <v>0</v>
      </c>
      <c r="Z1051" s="96">
        <v>58</v>
      </c>
      <c r="AA1051" s="96">
        <f t="shared" si="624"/>
        <v>58</v>
      </c>
      <c r="AB1051" s="97">
        <f t="shared" si="625"/>
        <v>0</v>
      </c>
      <c r="AC1051" s="97">
        <f t="shared" si="626"/>
        <v>3986.5499999999997</v>
      </c>
      <c r="AD1051" s="98">
        <v>3986.55</v>
      </c>
      <c r="AE1051" s="98">
        <v>4025.7</v>
      </c>
      <c r="AF1051" s="98">
        <v>4038.2</v>
      </c>
      <c r="AG1051" s="98">
        <f t="shared" si="627"/>
        <v>51.649999999999636</v>
      </c>
      <c r="AH1051" s="99">
        <v>672.5</v>
      </c>
      <c r="AI1051" s="100">
        <f t="shared" si="628"/>
        <v>2715689.5</v>
      </c>
      <c r="AJ1051" s="100">
        <f t="shared" si="629"/>
        <v>0</v>
      </c>
      <c r="AK1051" s="100">
        <v>0</v>
      </c>
      <c r="AL1051" s="100">
        <v>24140</v>
      </c>
      <c r="AM1051" s="100">
        <v>0</v>
      </c>
      <c r="AN1051" s="100">
        <v>0</v>
      </c>
      <c r="AO1051" s="100">
        <v>0</v>
      </c>
      <c r="AP1051" s="100">
        <f t="shared" si="613"/>
        <v>136992</v>
      </c>
      <c r="AQ1051" s="101">
        <f t="shared" si="623"/>
        <v>2876822</v>
      </c>
      <c r="AR1051" s="101">
        <v>0</v>
      </c>
      <c r="AS1051" s="101">
        <v>0</v>
      </c>
      <c r="AT1051" s="102" t="s">
        <v>33</v>
      </c>
      <c r="AU1051" s="109">
        <v>4</v>
      </c>
      <c r="AV1051" s="100">
        <f>14.81-11.81</f>
        <v>3</v>
      </c>
      <c r="AW1051" s="105">
        <v>0</v>
      </c>
      <c r="AX1051" s="216">
        <f t="shared" si="616"/>
        <v>1.2790352137090695</v>
      </c>
      <c r="AY1051" s="217">
        <f t="shared" si="617"/>
        <v>34735</v>
      </c>
      <c r="AZ1051" s="107"/>
      <c r="BA1051" s="94">
        <v>45685.28125</v>
      </c>
      <c r="BB1051" s="94">
        <v>45685.295138888891</v>
      </c>
      <c r="BC1051" s="94">
        <v>45685.298611111109</v>
      </c>
      <c r="BD1051" s="94">
        <v>45685.45</v>
      </c>
      <c r="BE1051" s="95">
        <f>+BD1051-BA1051</f>
        <v>0.16874999999708962</v>
      </c>
      <c r="BF1051" s="95">
        <v>0</v>
      </c>
      <c r="BG1051" s="95">
        <v>1.3888888888888888E-2</v>
      </c>
      <c r="BH1051" s="95">
        <f t="shared" ref="BH1051:BJ1052" si="630">+BB1051-BA1051</f>
        <v>1.3888888890505768E-2</v>
      </c>
      <c r="BI1051" s="95">
        <f t="shared" si="630"/>
        <v>3.4722222189884633E-3</v>
      </c>
      <c r="BJ1051" s="95">
        <f t="shared" si="630"/>
        <v>0.15138888888759539</v>
      </c>
      <c r="BK1051" s="95">
        <f>+BI1051+BJ1051</f>
        <v>0.15486111110658385</v>
      </c>
      <c r="BL1051" s="95">
        <f>+BE1051-BH1051-BF1051-BG1051</f>
        <v>0.14097222221769495</v>
      </c>
      <c r="BM1051" s="95" t="str">
        <f>IF(VALUE(BE1051)&lt;=VALUE("05:00"),"00:00",VALUE(BE1051)-VALUE("05:00"))</f>
        <v>00:00</v>
      </c>
      <c r="BN1051" s="110"/>
    </row>
    <row r="1052" spans="1:66" s="8" customFormat="1" ht="12.75" customHeight="1" x14ac:dyDescent="0.25">
      <c r="A1052" s="115">
        <v>969</v>
      </c>
      <c r="B1052" s="115">
        <v>95</v>
      </c>
      <c r="C1052" s="115">
        <v>1</v>
      </c>
      <c r="D1052" s="115" t="s">
        <v>113</v>
      </c>
      <c r="E1052" s="210" t="s">
        <v>1079</v>
      </c>
      <c r="F1052" s="115" t="s">
        <v>27</v>
      </c>
      <c r="G1052" s="115" t="s">
        <v>12</v>
      </c>
      <c r="H1052" s="115" t="s">
        <v>115</v>
      </c>
      <c r="I1052" s="115" t="s">
        <v>1080</v>
      </c>
      <c r="J1052" s="117">
        <v>45685</v>
      </c>
      <c r="K1052" s="116" t="s">
        <v>117</v>
      </c>
      <c r="L1052" s="116">
        <v>282001118</v>
      </c>
      <c r="M1052" s="117">
        <v>45686</v>
      </c>
      <c r="N1052" s="118">
        <v>45685.572916666664</v>
      </c>
      <c r="O1052" s="118">
        <v>45685.572916666664</v>
      </c>
      <c r="P1052" s="118">
        <v>45685.579861111109</v>
      </c>
      <c r="Q1052" s="118">
        <v>45685.75</v>
      </c>
      <c r="R1052" s="118" t="s">
        <v>118</v>
      </c>
      <c r="S1052" s="118" t="s">
        <v>118</v>
      </c>
      <c r="T1052" s="118">
        <v>45685.8125</v>
      </c>
      <c r="U1052" s="118">
        <v>45685.961111111108</v>
      </c>
      <c r="V1052" s="119">
        <f t="shared" si="614"/>
        <v>0.17708333333575865</v>
      </c>
      <c r="W1052" s="185">
        <v>0.20833333333333334</v>
      </c>
      <c r="X1052" s="119" t="str">
        <f t="shared" si="615"/>
        <v>00:00</v>
      </c>
      <c r="Y1052" s="96">
        <v>0</v>
      </c>
      <c r="Z1052" s="96">
        <v>30</v>
      </c>
      <c r="AA1052" s="96">
        <f t="shared" si="624"/>
        <v>30</v>
      </c>
      <c r="AB1052" s="97">
        <f t="shared" si="625"/>
        <v>0</v>
      </c>
      <c r="AC1052" s="97">
        <f t="shared" si="626"/>
        <v>1998.9500000000003</v>
      </c>
      <c r="AD1052" s="98">
        <f>3893.55-1894.6</f>
        <v>1998.9500000000003</v>
      </c>
      <c r="AE1052" s="98">
        <f>4046.4-1957.6</f>
        <v>2088.8000000000002</v>
      </c>
      <c r="AF1052" s="98">
        <f>4046.4-1957.6</f>
        <v>2088.8000000000002</v>
      </c>
      <c r="AG1052" s="98">
        <f t="shared" si="627"/>
        <v>89.849999999999909</v>
      </c>
      <c r="AH1052" s="99">
        <v>1586.7</v>
      </c>
      <c r="AI1052" s="100">
        <f t="shared" si="628"/>
        <v>3314298.9600000004</v>
      </c>
      <c r="AJ1052" s="100">
        <f t="shared" si="629"/>
        <v>0</v>
      </c>
      <c r="AK1052" s="100">
        <v>0</v>
      </c>
      <c r="AL1052" s="100">
        <v>0</v>
      </c>
      <c r="AM1052" s="100">
        <v>0</v>
      </c>
      <c r="AN1052" s="100">
        <v>0</v>
      </c>
      <c r="AO1052" s="100">
        <f>IFERROR(AF1052*20+(((AJ1052/AH1052)/2)*20),0)</f>
        <v>41776</v>
      </c>
      <c r="AP1052" s="100">
        <f t="shared" si="613"/>
        <v>167804</v>
      </c>
      <c r="AQ1052" s="101">
        <f t="shared" si="623"/>
        <v>3523879</v>
      </c>
      <c r="AR1052" s="101">
        <v>0</v>
      </c>
      <c r="AS1052" s="101">
        <v>0</v>
      </c>
      <c r="AT1052" s="137" t="s">
        <v>33</v>
      </c>
      <c r="AU1052" s="120" t="s">
        <v>118</v>
      </c>
      <c r="AV1052" s="121">
        <v>0</v>
      </c>
      <c r="AW1052" s="105">
        <v>0</v>
      </c>
      <c r="AX1052" s="140">
        <f>IFERROR(((AG1052+AG1053)/(AF1052+AF1053))*100, "")</f>
        <v>3.7774317912218249</v>
      </c>
      <c r="AY1052" s="141">
        <f>ROUNDUP((AG1052+AG1053)*AH1052,0)</f>
        <v>242528</v>
      </c>
      <c r="AZ1052" s="107"/>
      <c r="BA1052" s="118">
        <v>45685.572916666664</v>
      </c>
      <c r="BB1052" s="118">
        <v>45685.579861111109</v>
      </c>
      <c r="BC1052" s="118">
        <v>45685.579861111109</v>
      </c>
      <c r="BD1052" s="118">
        <v>45685.722222222219</v>
      </c>
      <c r="BE1052" s="119">
        <f>+BD1052-BA1052</f>
        <v>0.14930555555474712</v>
      </c>
      <c r="BF1052" s="119">
        <v>9.0277777777777769E-3</v>
      </c>
      <c r="BG1052" s="119">
        <v>5.5555555555555558E-3</v>
      </c>
      <c r="BH1052" s="119">
        <f t="shared" si="630"/>
        <v>6.9444444452528842E-3</v>
      </c>
      <c r="BI1052" s="119">
        <f t="shared" si="630"/>
        <v>0</v>
      </c>
      <c r="BJ1052" s="119">
        <f t="shared" si="630"/>
        <v>0.14236111110949423</v>
      </c>
      <c r="BK1052" s="119">
        <f>+BI1052+BJ1052</f>
        <v>0.14236111110949423</v>
      </c>
      <c r="BL1052" s="119">
        <f>+BE1052-BH1052-BF1052-BG1052</f>
        <v>0.12777777777616089</v>
      </c>
      <c r="BM1052" s="119" t="str">
        <f>IF(VALUE(BE1052)&lt;=VALUE("05:00"),"00:00",VALUE(BE1052)-VALUE("05:00"))</f>
        <v>00:00</v>
      </c>
      <c r="BN1052" s="110" t="s">
        <v>1081</v>
      </c>
    </row>
    <row r="1053" spans="1:66" s="8" customFormat="1" ht="12.75" customHeight="1" x14ac:dyDescent="0.25">
      <c r="A1053" s="122"/>
      <c r="B1053" s="122"/>
      <c r="C1053" s="122"/>
      <c r="D1053" s="122"/>
      <c r="E1053" s="210" t="s">
        <v>1082</v>
      </c>
      <c r="F1053" s="122"/>
      <c r="G1053" s="122"/>
      <c r="H1053" s="122"/>
      <c r="I1053" s="122"/>
      <c r="J1053" s="124"/>
      <c r="K1053" s="123"/>
      <c r="L1053" s="123"/>
      <c r="M1053" s="124"/>
      <c r="N1053" s="125"/>
      <c r="O1053" s="125"/>
      <c r="P1053" s="125"/>
      <c r="Q1053" s="125"/>
      <c r="R1053" s="125"/>
      <c r="S1053" s="125"/>
      <c r="T1053" s="125"/>
      <c r="U1053" s="125"/>
      <c r="V1053" s="126"/>
      <c r="W1053" s="189"/>
      <c r="X1053" s="126"/>
      <c r="Y1053" s="96">
        <v>0</v>
      </c>
      <c r="Z1053" s="96">
        <v>28</v>
      </c>
      <c r="AA1053" s="96">
        <f t="shared" si="624"/>
        <v>28</v>
      </c>
      <c r="AB1053" s="97">
        <f t="shared" si="625"/>
        <v>0</v>
      </c>
      <c r="AC1053" s="97">
        <f t="shared" si="626"/>
        <v>1894.6</v>
      </c>
      <c r="AD1053" s="98">
        <v>1894.6</v>
      </c>
      <c r="AE1053" s="98">
        <v>1957.6</v>
      </c>
      <c r="AF1053" s="98">
        <v>1957.6</v>
      </c>
      <c r="AG1053" s="98">
        <f t="shared" si="627"/>
        <v>63</v>
      </c>
      <c r="AH1053" s="99">
        <v>1586.7</v>
      </c>
      <c r="AI1053" s="100">
        <f t="shared" si="628"/>
        <v>3106123.92</v>
      </c>
      <c r="AJ1053" s="100">
        <f t="shared" si="629"/>
        <v>0</v>
      </c>
      <c r="AK1053" s="100">
        <v>0</v>
      </c>
      <c r="AL1053" s="100">
        <v>0</v>
      </c>
      <c r="AM1053" s="100">
        <v>0</v>
      </c>
      <c r="AN1053" s="100">
        <v>0</v>
      </c>
      <c r="AO1053" s="100">
        <f>IFERROR(AF1053*20+(((AJ1053/AH1053)/2)*20),0)</f>
        <v>39152</v>
      </c>
      <c r="AP1053" s="100">
        <f t="shared" si="613"/>
        <v>157264</v>
      </c>
      <c r="AQ1053" s="101">
        <f t="shared" si="623"/>
        <v>3302540</v>
      </c>
      <c r="AR1053" s="101">
        <v>0</v>
      </c>
      <c r="AS1053" s="101">
        <v>0</v>
      </c>
      <c r="AT1053" s="138"/>
      <c r="AU1053" s="127"/>
      <c r="AV1053" s="128"/>
      <c r="AW1053" s="105">
        <v>0</v>
      </c>
      <c r="AX1053" s="144"/>
      <c r="AY1053" s="145"/>
      <c r="AZ1053" s="107"/>
      <c r="BA1053" s="125"/>
      <c r="BB1053" s="125"/>
      <c r="BC1053" s="125"/>
      <c r="BD1053" s="125"/>
      <c r="BE1053" s="126"/>
      <c r="BF1053" s="126"/>
      <c r="BG1053" s="126"/>
      <c r="BH1053" s="126"/>
      <c r="BI1053" s="126"/>
      <c r="BJ1053" s="126"/>
      <c r="BK1053" s="126"/>
      <c r="BL1053" s="126"/>
      <c r="BM1053" s="126"/>
      <c r="BN1053" s="110" t="s">
        <v>1083</v>
      </c>
    </row>
    <row r="1054" spans="1:66" s="8" customFormat="1" ht="12.75" customHeight="1" x14ac:dyDescent="0.25">
      <c r="A1054" s="150">
        <v>970</v>
      </c>
      <c r="B1054" s="150">
        <v>96</v>
      </c>
      <c r="C1054" s="90">
        <v>10</v>
      </c>
      <c r="D1054" s="111" t="s">
        <v>148</v>
      </c>
      <c r="E1054" s="210" t="s">
        <v>1077</v>
      </c>
      <c r="F1054" s="150" t="s">
        <v>16</v>
      </c>
      <c r="G1054" s="150" t="s">
        <v>17</v>
      </c>
      <c r="H1054" s="150" t="s">
        <v>150</v>
      </c>
      <c r="I1054" s="150" t="s">
        <v>616</v>
      </c>
      <c r="J1054" s="151">
        <v>45683</v>
      </c>
      <c r="K1054" s="135" t="s">
        <v>122</v>
      </c>
      <c r="L1054" s="135">
        <v>461000707</v>
      </c>
      <c r="M1054" s="151">
        <v>45686</v>
      </c>
      <c r="N1054" s="152">
        <v>45685.75</v>
      </c>
      <c r="O1054" s="152">
        <v>45685.75</v>
      </c>
      <c r="P1054" s="152">
        <v>45685.753472222219</v>
      </c>
      <c r="Q1054" s="152">
        <v>45685.958333333336</v>
      </c>
      <c r="R1054" s="152" t="s">
        <v>118</v>
      </c>
      <c r="S1054" s="152" t="s">
        <v>118</v>
      </c>
      <c r="T1054" s="152">
        <v>45685.989583333336</v>
      </c>
      <c r="U1054" s="152">
        <v>45686.079861111109</v>
      </c>
      <c r="V1054" s="219">
        <f t="shared" ref="V1054:V1078" si="631">+Q1054-O1054</f>
        <v>0.20833333333575865</v>
      </c>
      <c r="W1054" s="203">
        <v>0.20833333333333334</v>
      </c>
      <c r="X1054" s="219">
        <f t="shared" ref="X1054:X1078" si="632">IF(VALUE(V1054)&lt;=VALUE("05:00"),"00:00",VALUE(V1054)-VALUE("05:00"))</f>
        <v>2.4253099528692701E-12</v>
      </c>
      <c r="Y1054" s="96">
        <v>0</v>
      </c>
      <c r="Z1054" s="96">
        <v>57</v>
      </c>
      <c r="AA1054" s="96">
        <f t="shared" si="624"/>
        <v>57</v>
      </c>
      <c r="AB1054" s="97">
        <f t="shared" si="625"/>
        <v>0</v>
      </c>
      <c r="AC1054" s="97">
        <f t="shared" si="626"/>
        <v>3885.09</v>
      </c>
      <c r="AD1054" s="98">
        <v>3885.09</v>
      </c>
      <c r="AE1054" s="98">
        <v>3970</v>
      </c>
      <c r="AF1054" s="98">
        <v>3972</v>
      </c>
      <c r="AG1054" s="98">
        <f t="shared" si="627"/>
        <v>86.909999999999854</v>
      </c>
      <c r="AH1054" s="99">
        <v>672.5</v>
      </c>
      <c r="AI1054" s="100">
        <f t="shared" si="628"/>
        <v>2671170</v>
      </c>
      <c r="AJ1054" s="100">
        <f t="shared" si="629"/>
        <v>0</v>
      </c>
      <c r="AK1054" s="100">
        <v>0</v>
      </c>
      <c r="AL1054" s="100">
        <v>0</v>
      </c>
      <c r="AM1054" s="100">
        <v>0</v>
      </c>
      <c r="AN1054" s="100">
        <v>0</v>
      </c>
      <c r="AO1054" s="100">
        <v>0</v>
      </c>
      <c r="AP1054" s="100">
        <f t="shared" si="613"/>
        <v>133559</v>
      </c>
      <c r="AQ1054" s="101">
        <f t="shared" si="623"/>
        <v>2804729</v>
      </c>
      <c r="AR1054" s="101">
        <v>0</v>
      </c>
      <c r="AS1054" s="101">
        <v>0</v>
      </c>
      <c r="AT1054" s="102" t="s">
        <v>33</v>
      </c>
      <c r="AU1054" s="109" t="s">
        <v>118</v>
      </c>
      <c r="AV1054" s="100">
        <v>0</v>
      </c>
      <c r="AW1054" s="105">
        <v>0</v>
      </c>
      <c r="AX1054" s="216">
        <f t="shared" ref="AX1054:AX1077" si="633">IFERROR((AG1054/AF1054)*100, "")</f>
        <v>2.188066465256794</v>
      </c>
      <c r="AY1054" s="217">
        <f t="shared" ref="AY1054:AY1077" si="634">ROUNDUP(AG1054*AH1054,0)</f>
        <v>58447</v>
      </c>
      <c r="AZ1054" s="107"/>
      <c r="BA1054" s="94">
        <v>45685.75</v>
      </c>
      <c r="BB1054" s="94">
        <v>45685.753472222219</v>
      </c>
      <c r="BC1054" s="94">
        <v>45685.753472222219</v>
      </c>
      <c r="BD1054" s="94">
        <v>45685.890972222223</v>
      </c>
      <c r="BE1054" s="95">
        <f t="shared" ref="BE1054:BE1078" si="635">+BD1054-BA1054</f>
        <v>0.14097222222335404</v>
      </c>
      <c r="BF1054" s="95">
        <v>0</v>
      </c>
      <c r="BG1054" s="95">
        <v>2.2916666666666665E-2</v>
      </c>
      <c r="BH1054" s="95">
        <f t="shared" ref="BH1054:BJ1078" si="636">+BB1054-BA1054</f>
        <v>3.4722222189884633E-3</v>
      </c>
      <c r="BI1054" s="95">
        <f t="shared" si="636"/>
        <v>0</v>
      </c>
      <c r="BJ1054" s="95">
        <f t="shared" si="636"/>
        <v>0.13750000000436557</v>
      </c>
      <c r="BK1054" s="95">
        <f t="shared" ref="BK1054:BK1078" si="637">+BI1054+BJ1054</f>
        <v>0.13750000000436557</v>
      </c>
      <c r="BL1054" s="95">
        <f t="shared" ref="BL1054:BL1078" si="638">+BE1054-BH1054-BF1054-BG1054</f>
        <v>0.11458333333769891</v>
      </c>
      <c r="BM1054" s="95" t="str">
        <f t="shared" ref="BM1054:BM1078" si="639">IF(VALUE(BE1054)&lt;=VALUE("05:00"),"00:00",VALUE(BE1054)-VALUE("05:00"))</f>
        <v>00:00</v>
      </c>
      <c r="BN1054" s="110"/>
    </row>
    <row r="1055" spans="1:66" s="8" customFormat="1" ht="12.75" customHeight="1" x14ac:dyDescent="0.25">
      <c r="A1055" s="150">
        <v>971</v>
      </c>
      <c r="B1055" s="150">
        <v>97</v>
      </c>
      <c r="C1055" s="90">
        <v>11</v>
      </c>
      <c r="D1055" s="111" t="s">
        <v>148</v>
      </c>
      <c r="E1055" s="210" t="s">
        <v>1077</v>
      </c>
      <c r="F1055" s="150" t="s">
        <v>16</v>
      </c>
      <c r="G1055" s="150" t="s">
        <v>17</v>
      </c>
      <c r="H1055" s="150" t="s">
        <v>150</v>
      </c>
      <c r="I1055" s="150" t="s">
        <v>617</v>
      </c>
      <c r="J1055" s="151">
        <v>45685</v>
      </c>
      <c r="K1055" s="135" t="s">
        <v>122</v>
      </c>
      <c r="L1055" s="135">
        <v>461000708</v>
      </c>
      <c r="M1055" s="151">
        <v>45686</v>
      </c>
      <c r="N1055" s="152">
        <v>45686.322916666664</v>
      </c>
      <c r="O1055" s="152">
        <v>45686.322916666664</v>
      </c>
      <c r="P1055" s="152">
        <v>45686.329861111109</v>
      </c>
      <c r="Q1055" s="152">
        <v>45686.489583333336</v>
      </c>
      <c r="R1055" s="152" t="s">
        <v>118</v>
      </c>
      <c r="S1055" s="152" t="s">
        <v>118</v>
      </c>
      <c r="T1055" s="152">
        <v>45686.541666666664</v>
      </c>
      <c r="U1055" s="152">
        <v>45686.565972222219</v>
      </c>
      <c r="V1055" s="219">
        <f t="shared" si="631"/>
        <v>0.16666666667151731</v>
      </c>
      <c r="W1055" s="203">
        <v>0.20833333333333334</v>
      </c>
      <c r="X1055" s="219" t="str">
        <f t="shared" si="632"/>
        <v>00:00</v>
      </c>
      <c r="Y1055" s="96">
        <v>0</v>
      </c>
      <c r="Z1055" s="96">
        <v>58</v>
      </c>
      <c r="AA1055" s="96">
        <f t="shared" si="624"/>
        <v>58</v>
      </c>
      <c r="AB1055" s="97">
        <f t="shared" si="625"/>
        <v>0</v>
      </c>
      <c r="AC1055" s="97">
        <f t="shared" si="626"/>
        <v>4055.2</v>
      </c>
      <c r="AD1055" s="98">
        <v>4055.2</v>
      </c>
      <c r="AE1055" s="98">
        <v>4060</v>
      </c>
      <c r="AF1055" s="98">
        <v>4082.4</v>
      </c>
      <c r="AG1055" s="98">
        <f t="shared" si="627"/>
        <v>27.200000000000273</v>
      </c>
      <c r="AH1055" s="99">
        <v>672.5</v>
      </c>
      <c r="AI1055" s="100">
        <f t="shared" si="628"/>
        <v>2745414</v>
      </c>
      <c r="AJ1055" s="100">
        <f t="shared" si="629"/>
        <v>0</v>
      </c>
      <c r="AK1055" s="100">
        <v>0</v>
      </c>
      <c r="AL1055" s="100">
        <v>24140</v>
      </c>
      <c r="AM1055" s="100">
        <v>0</v>
      </c>
      <c r="AN1055" s="100">
        <v>0</v>
      </c>
      <c r="AO1055" s="100">
        <v>0</v>
      </c>
      <c r="AP1055" s="100">
        <f t="shared" si="613"/>
        <v>138478</v>
      </c>
      <c r="AQ1055" s="101">
        <f t="shared" si="623"/>
        <v>2908032</v>
      </c>
      <c r="AR1055" s="101">
        <v>0</v>
      </c>
      <c r="AS1055" s="101">
        <v>0</v>
      </c>
      <c r="AT1055" s="102" t="s">
        <v>33</v>
      </c>
      <c r="AU1055" s="109">
        <v>12</v>
      </c>
      <c r="AV1055" s="100">
        <f>27.4-19.4</f>
        <v>8</v>
      </c>
      <c r="AW1055" s="105">
        <v>0</v>
      </c>
      <c r="AX1055" s="216">
        <f t="shared" si="633"/>
        <v>0.66627474034882106</v>
      </c>
      <c r="AY1055" s="217">
        <f t="shared" si="634"/>
        <v>18293</v>
      </c>
      <c r="AZ1055" s="107"/>
      <c r="BA1055" s="94">
        <v>45686.322916666664</v>
      </c>
      <c r="BB1055" s="94">
        <v>45686.329861111109</v>
      </c>
      <c r="BC1055" s="94">
        <v>45686.329861111109</v>
      </c>
      <c r="BD1055" s="94">
        <v>45686.447916666664</v>
      </c>
      <c r="BE1055" s="95">
        <f t="shared" si="635"/>
        <v>0.125</v>
      </c>
      <c r="BF1055" s="95">
        <v>0</v>
      </c>
      <c r="BG1055" s="95">
        <v>0</v>
      </c>
      <c r="BH1055" s="95">
        <f t="shared" si="636"/>
        <v>6.9444444452528842E-3</v>
      </c>
      <c r="BI1055" s="95">
        <f t="shared" si="636"/>
        <v>0</v>
      </c>
      <c r="BJ1055" s="95">
        <f t="shared" si="636"/>
        <v>0.11805555555474712</v>
      </c>
      <c r="BK1055" s="95">
        <f t="shared" si="637"/>
        <v>0.11805555555474712</v>
      </c>
      <c r="BL1055" s="95">
        <f t="shared" si="638"/>
        <v>0.11805555555474712</v>
      </c>
      <c r="BM1055" s="95" t="str">
        <f t="shared" si="639"/>
        <v>00:00</v>
      </c>
      <c r="BN1055" s="110"/>
    </row>
    <row r="1056" spans="1:66" s="8" customFormat="1" ht="12.75" customHeight="1" x14ac:dyDescent="0.25">
      <c r="A1056" s="150">
        <v>972</v>
      </c>
      <c r="B1056" s="150">
        <v>98</v>
      </c>
      <c r="C1056" s="90">
        <v>12</v>
      </c>
      <c r="D1056" s="111" t="s">
        <v>148</v>
      </c>
      <c r="E1056" s="210" t="s">
        <v>1077</v>
      </c>
      <c r="F1056" s="150" t="s">
        <v>16</v>
      </c>
      <c r="G1056" s="150" t="s">
        <v>17</v>
      </c>
      <c r="H1056" s="150" t="s">
        <v>150</v>
      </c>
      <c r="I1056" s="150" t="s">
        <v>619</v>
      </c>
      <c r="J1056" s="151">
        <v>45685</v>
      </c>
      <c r="K1056" s="135" t="s">
        <v>117</v>
      </c>
      <c r="L1056" s="135">
        <v>461000709</v>
      </c>
      <c r="M1056" s="151">
        <v>45686</v>
      </c>
      <c r="N1056" s="152">
        <v>45686.572916666664</v>
      </c>
      <c r="O1056" s="152">
        <v>45686.5625</v>
      </c>
      <c r="P1056" s="152">
        <v>45686.576388888891</v>
      </c>
      <c r="Q1056" s="152">
        <v>45686.729166666664</v>
      </c>
      <c r="R1056" s="152">
        <v>45686.572916666664</v>
      </c>
      <c r="S1056" s="152" t="s">
        <v>118</v>
      </c>
      <c r="T1056" s="152">
        <v>45686.75</v>
      </c>
      <c r="U1056" s="152">
        <v>45686.951388888891</v>
      </c>
      <c r="V1056" s="219">
        <f t="shared" si="631"/>
        <v>0.16666666666424135</v>
      </c>
      <c r="W1056" s="203">
        <v>0.20833333333333334</v>
      </c>
      <c r="X1056" s="219" t="str">
        <f t="shared" si="632"/>
        <v>00:00</v>
      </c>
      <c r="Y1056" s="96">
        <v>3</v>
      </c>
      <c r="Z1056" s="96">
        <v>55</v>
      </c>
      <c r="AA1056" s="96">
        <f t="shared" si="624"/>
        <v>58</v>
      </c>
      <c r="AB1056" s="97">
        <f t="shared" si="625"/>
        <v>210.18724137931034</v>
      </c>
      <c r="AC1056" s="97">
        <f t="shared" si="626"/>
        <v>3853.4327586206896</v>
      </c>
      <c r="AD1056" s="98">
        <v>4063.62</v>
      </c>
      <c r="AE1056" s="98">
        <v>4038</v>
      </c>
      <c r="AF1056" s="98">
        <v>4080.4</v>
      </c>
      <c r="AG1056" s="98">
        <f t="shared" si="627"/>
        <v>16.7800000000002</v>
      </c>
      <c r="AH1056" s="99">
        <v>672.5</v>
      </c>
      <c r="AI1056" s="100">
        <f t="shared" si="628"/>
        <v>2744069</v>
      </c>
      <c r="AJ1056" s="100">
        <f t="shared" si="629"/>
        <v>0</v>
      </c>
      <c r="AK1056" s="100">
        <v>0</v>
      </c>
      <c r="AL1056" s="100">
        <v>48280</v>
      </c>
      <c r="AM1056" s="100">
        <v>0</v>
      </c>
      <c r="AN1056" s="100">
        <v>0</v>
      </c>
      <c r="AO1056" s="100">
        <v>0</v>
      </c>
      <c r="AP1056" s="100">
        <f t="shared" si="613"/>
        <v>139618</v>
      </c>
      <c r="AQ1056" s="101">
        <f t="shared" si="623"/>
        <v>2931967</v>
      </c>
      <c r="AR1056" s="101">
        <v>0</v>
      </c>
      <c r="AS1056" s="101">
        <v>0</v>
      </c>
      <c r="AT1056" s="102" t="s">
        <v>33</v>
      </c>
      <c r="AU1056" s="109">
        <v>33</v>
      </c>
      <c r="AV1056" s="100">
        <f>84.01-34.01</f>
        <v>50.000000000000007</v>
      </c>
      <c r="AW1056" s="105">
        <v>0</v>
      </c>
      <c r="AX1056" s="216">
        <f t="shared" si="633"/>
        <v>0.41123419272620826</v>
      </c>
      <c r="AY1056" s="217">
        <f t="shared" si="634"/>
        <v>11285</v>
      </c>
      <c r="AZ1056" s="107"/>
      <c r="BA1056" s="94">
        <v>45686.572916666664</v>
      </c>
      <c r="BB1056" s="94">
        <v>45686.576388888891</v>
      </c>
      <c r="BC1056" s="94">
        <v>45686.576388888891</v>
      </c>
      <c r="BD1056" s="94">
        <v>45686.711805555555</v>
      </c>
      <c r="BE1056" s="95">
        <f t="shared" si="635"/>
        <v>0.13888888889050577</v>
      </c>
      <c r="BF1056" s="95">
        <v>0</v>
      </c>
      <c r="BG1056" s="95">
        <v>1.1805555555555555E-2</v>
      </c>
      <c r="BH1056" s="95">
        <f t="shared" si="636"/>
        <v>3.4722222262644209E-3</v>
      </c>
      <c r="BI1056" s="95">
        <f t="shared" si="636"/>
        <v>0</v>
      </c>
      <c r="BJ1056" s="95">
        <f t="shared" si="636"/>
        <v>0.13541666666424135</v>
      </c>
      <c r="BK1056" s="95">
        <f t="shared" si="637"/>
        <v>0.13541666666424135</v>
      </c>
      <c r="BL1056" s="95">
        <f t="shared" si="638"/>
        <v>0.12361111110868579</v>
      </c>
      <c r="BM1056" s="95" t="str">
        <f t="shared" si="639"/>
        <v>00:00</v>
      </c>
      <c r="BN1056" s="110"/>
    </row>
    <row r="1057" spans="1:66" s="8" customFormat="1" ht="12.75" customHeight="1" x14ac:dyDescent="0.25">
      <c r="A1057" s="150">
        <v>973</v>
      </c>
      <c r="B1057" s="150">
        <v>99</v>
      </c>
      <c r="C1057" s="90">
        <v>13</v>
      </c>
      <c r="D1057" s="111" t="s">
        <v>148</v>
      </c>
      <c r="E1057" s="210" t="s">
        <v>1077</v>
      </c>
      <c r="F1057" s="150" t="s">
        <v>16</v>
      </c>
      <c r="G1057" s="150" t="s">
        <v>17</v>
      </c>
      <c r="H1057" s="150" t="s">
        <v>150</v>
      </c>
      <c r="I1057" s="150" t="s">
        <v>622</v>
      </c>
      <c r="J1057" s="151">
        <v>45685</v>
      </c>
      <c r="K1057" s="135" t="s">
        <v>122</v>
      </c>
      <c r="L1057" s="135">
        <v>461000710</v>
      </c>
      <c r="M1057" s="151">
        <v>45687</v>
      </c>
      <c r="N1057" s="152">
        <v>45686.708333333336</v>
      </c>
      <c r="O1057" s="152">
        <v>45686.708333333336</v>
      </c>
      <c r="P1057" s="152">
        <v>45686.711805555555</v>
      </c>
      <c r="Q1057" s="152">
        <v>45686.895833333336</v>
      </c>
      <c r="R1057" s="152" t="s">
        <v>118</v>
      </c>
      <c r="S1057" s="152" t="s">
        <v>118</v>
      </c>
      <c r="T1057" s="152">
        <v>45686.916666666664</v>
      </c>
      <c r="U1057" s="152">
        <v>45687.069444444445</v>
      </c>
      <c r="V1057" s="219">
        <f t="shared" si="631"/>
        <v>0.1875</v>
      </c>
      <c r="W1057" s="203">
        <v>0.20833333333333334</v>
      </c>
      <c r="X1057" s="219" t="str">
        <f t="shared" si="632"/>
        <v>00:00</v>
      </c>
      <c r="Y1057" s="96">
        <v>0</v>
      </c>
      <c r="Z1057" s="96">
        <v>59</v>
      </c>
      <c r="AA1057" s="96">
        <f t="shared" si="624"/>
        <v>59</v>
      </c>
      <c r="AB1057" s="97">
        <f t="shared" si="625"/>
        <v>0</v>
      </c>
      <c r="AC1057" s="97">
        <f t="shared" si="626"/>
        <v>4084.4600000000005</v>
      </c>
      <c r="AD1057" s="98">
        <v>4084.46</v>
      </c>
      <c r="AE1057" s="98">
        <v>4090.4</v>
      </c>
      <c r="AF1057" s="98">
        <v>4116.2</v>
      </c>
      <c r="AG1057" s="98">
        <f t="shared" si="627"/>
        <v>31.739999999999782</v>
      </c>
      <c r="AH1057" s="99">
        <v>672.5</v>
      </c>
      <c r="AI1057" s="100">
        <f t="shared" si="628"/>
        <v>2768144.5</v>
      </c>
      <c r="AJ1057" s="100">
        <f t="shared" si="629"/>
        <v>0</v>
      </c>
      <c r="AK1057" s="100">
        <v>0</v>
      </c>
      <c r="AL1057" s="100">
        <v>24290</v>
      </c>
      <c r="AM1057" s="100">
        <v>0</v>
      </c>
      <c r="AN1057" s="100">
        <v>0</v>
      </c>
      <c r="AO1057" s="100">
        <v>0</v>
      </c>
      <c r="AP1057" s="100">
        <f t="shared" si="613"/>
        <v>139622</v>
      </c>
      <c r="AQ1057" s="101">
        <f t="shared" si="623"/>
        <v>2932057</v>
      </c>
      <c r="AR1057" s="101">
        <v>0</v>
      </c>
      <c r="AS1057" s="101">
        <v>0</v>
      </c>
      <c r="AT1057" s="102" t="s">
        <v>33</v>
      </c>
      <c r="AU1057" s="109">
        <v>17</v>
      </c>
      <c r="AV1057" s="100">
        <f>37.29-21.29</f>
        <v>16</v>
      </c>
      <c r="AW1057" s="105">
        <v>0</v>
      </c>
      <c r="AX1057" s="216">
        <f t="shared" si="633"/>
        <v>0.77109955784460871</v>
      </c>
      <c r="AY1057" s="217">
        <f t="shared" si="634"/>
        <v>21346</v>
      </c>
      <c r="AZ1057" s="107"/>
      <c r="BA1057" s="94">
        <v>45686.708333333336</v>
      </c>
      <c r="BB1057" s="94">
        <v>45686.711805555555</v>
      </c>
      <c r="BC1057" s="94">
        <v>45686.711805555555</v>
      </c>
      <c r="BD1057" s="94">
        <v>45686.857638888891</v>
      </c>
      <c r="BE1057" s="95">
        <f t="shared" si="635"/>
        <v>0.14930555555474712</v>
      </c>
      <c r="BF1057" s="95">
        <v>0</v>
      </c>
      <c r="BG1057" s="95">
        <v>1.5277777777777777E-2</v>
      </c>
      <c r="BH1057" s="95">
        <f t="shared" si="636"/>
        <v>3.4722222189884633E-3</v>
      </c>
      <c r="BI1057" s="95">
        <f t="shared" si="636"/>
        <v>0</v>
      </c>
      <c r="BJ1057" s="95">
        <f t="shared" si="636"/>
        <v>0.14583333333575865</v>
      </c>
      <c r="BK1057" s="95">
        <f t="shared" si="637"/>
        <v>0.14583333333575865</v>
      </c>
      <c r="BL1057" s="95">
        <f t="shared" si="638"/>
        <v>0.13055555555798087</v>
      </c>
      <c r="BM1057" s="95" t="str">
        <f t="shared" si="639"/>
        <v>00:00</v>
      </c>
      <c r="BN1057" s="110"/>
    </row>
    <row r="1058" spans="1:66" s="8" customFormat="1" ht="12.75" customHeight="1" x14ac:dyDescent="0.25">
      <c r="A1058" s="150">
        <v>974</v>
      </c>
      <c r="B1058" s="150">
        <v>100</v>
      </c>
      <c r="C1058" s="90">
        <v>14</v>
      </c>
      <c r="D1058" s="111" t="s">
        <v>148</v>
      </c>
      <c r="E1058" s="210" t="s">
        <v>1077</v>
      </c>
      <c r="F1058" s="150" t="s">
        <v>16</v>
      </c>
      <c r="G1058" s="150" t="s">
        <v>17</v>
      </c>
      <c r="H1058" s="150" t="s">
        <v>150</v>
      </c>
      <c r="I1058" s="150" t="s">
        <v>623</v>
      </c>
      <c r="J1058" s="151">
        <v>45686</v>
      </c>
      <c r="K1058" s="135" t="s">
        <v>117</v>
      </c>
      <c r="L1058" s="135">
        <v>461000711</v>
      </c>
      <c r="M1058" s="151">
        <v>45687</v>
      </c>
      <c r="N1058" s="152">
        <v>45686.979166666664</v>
      </c>
      <c r="O1058" s="152">
        <v>45686.979166666664</v>
      </c>
      <c r="P1058" s="152">
        <v>45686.993055555555</v>
      </c>
      <c r="Q1058" s="152">
        <v>45687.177083333336</v>
      </c>
      <c r="R1058" s="152" t="s">
        <v>118</v>
      </c>
      <c r="S1058" s="152" t="s">
        <v>118</v>
      </c>
      <c r="T1058" s="152">
        <v>45687.291666666664</v>
      </c>
      <c r="U1058" s="152">
        <v>45687.46875</v>
      </c>
      <c r="V1058" s="219">
        <f t="shared" si="631"/>
        <v>0.19791666667151731</v>
      </c>
      <c r="W1058" s="203">
        <v>0.20833333333333334</v>
      </c>
      <c r="X1058" s="219" t="str">
        <f t="shared" si="632"/>
        <v>00:00</v>
      </c>
      <c r="Y1058" s="96">
        <v>4</v>
      </c>
      <c r="Z1058" s="96">
        <v>55</v>
      </c>
      <c r="AA1058" s="96">
        <f t="shared" si="624"/>
        <v>59</v>
      </c>
      <c r="AB1058" s="97">
        <f t="shared" si="625"/>
        <v>277.72813559322032</v>
      </c>
      <c r="AC1058" s="97">
        <f t="shared" si="626"/>
        <v>3818.7618644067793</v>
      </c>
      <c r="AD1058" s="98">
        <v>4096.49</v>
      </c>
      <c r="AE1058" s="98">
        <v>4102.8999999999996</v>
      </c>
      <c r="AF1058" s="98">
        <v>4128</v>
      </c>
      <c r="AG1058" s="98">
        <f t="shared" si="627"/>
        <v>31.510000000000218</v>
      </c>
      <c r="AH1058" s="99">
        <v>672.5</v>
      </c>
      <c r="AI1058" s="100">
        <f t="shared" si="628"/>
        <v>2776080</v>
      </c>
      <c r="AJ1058" s="100">
        <f t="shared" si="629"/>
        <v>0</v>
      </c>
      <c r="AK1058" s="100">
        <v>0</v>
      </c>
      <c r="AL1058" s="100">
        <v>24290</v>
      </c>
      <c r="AM1058" s="100">
        <v>0</v>
      </c>
      <c r="AN1058" s="100">
        <v>0</v>
      </c>
      <c r="AO1058" s="100">
        <v>0</v>
      </c>
      <c r="AP1058" s="100">
        <f t="shared" si="613"/>
        <v>140019</v>
      </c>
      <c r="AQ1058" s="101">
        <f t="shared" si="623"/>
        <v>2940389</v>
      </c>
      <c r="AR1058" s="101">
        <v>0</v>
      </c>
      <c r="AS1058" s="101">
        <v>0</v>
      </c>
      <c r="AT1058" s="102" t="s">
        <v>33</v>
      </c>
      <c r="AU1058" s="109">
        <v>12</v>
      </c>
      <c r="AV1058" s="100">
        <f>30.44-22.44</f>
        <v>8</v>
      </c>
      <c r="AW1058" s="105">
        <v>0</v>
      </c>
      <c r="AX1058" s="216">
        <f t="shared" si="633"/>
        <v>0.76332364341085801</v>
      </c>
      <c r="AY1058" s="217">
        <f t="shared" si="634"/>
        <v>21191</v>
      </c>
      <c r="AZ1058" s="107"/>
      <c r="BA1058" s="94">
        <v>45686.979166666664</v>
      </c>
      <c r="BB1058" s="94">
        <v>45686.993055555555</v>
      </c>
      <c r="BC1058" s="94">
        <v>45686.996527777781</v>
      </c>
      <c r="BD1058" s="94">
        <v>45687.116666666669</v>
      </c>
      <c r="BE1058" s="95">
        <f t="shared" si="635"/>
        <v>0.13750000000436557</v>
      </c>
      <c r="BF1058" s="95">
        <v>3.472222222222222E-3</v>
      </c>
      <c r="BG1058" s="95">
        <v>1.3888888888888889E-3</v>
      </c>
      <c r="BH1058" s="95">
        <f t="shared" si="636"/>
        <v>1.3888888890505768E-2</v>
      </c>
      <c r="BI1058" s="95">
        <f t="shared" si="636"/>
        <v>3.4722222262644209E-3</v>
      </c>
      <c r="BJ1058" s="95">
        <f t="shared" si="636"/>
        <v>0.12013888888759539</v>
      </c>
      <c r="BK1058" s="95">
        <f t="shared" si="637"/>
        <v>0.12361111111385981</v>
      </c>
      <c r="BL1058" s="95">
        <f t="shared" si="638"/>
        <v>0.1187500000027487</v>
      </c>
      <c r="BM1058" s="95" t="str">
        <f t="shared" si="639"/>
        <v>00:00</v>
      </c>
      <c r="BN1058" s="110"/>
    </row>
    <row r="1059" spans="1:66" s="8" customFormat="1" ht="12.75" customHeight="1" x14ac:dyDescent="0.25">
      <c r="A1059" s="150">
        <v>975</v>
      </c>
      <c r="B1059" s="150">
        <v>101</v>
      </c>
      <c r="C1059" s="90">
        <v>1</v>
      </c>
      <c r="D1059" s="111" t="s">
        <v>148</v>
      </c>
      <c r="E1059" s="210" t="s">
        <v>1084</v>
      </c>
      <c r="F1059" s="150" t="s">
        <v>19</v>
      </c>
      <c r="G1059" s="150" t="s">
        <v>17</v>
      </c>
      <c r="H1059" s="150" t="s">
        <v>150</v>
      </c>
      <c r="I1059" s="150" t="s">
        <v>624</v>
      </c>
      <c r="J1059" s="151">
        <v>45686</v>
      </c>
      <c r="K1059" s="135" t="s">
        <v>122</v>
      </c>
      <c r="L1059" s="135">
        <v>461000712</v>
      </c>
      <c r="M1059" s="151">
        <v>45687</v>
      </c>
      <c r="N1059" s="152">
        <v>45687.375</v>
      </c>
      <c r="O1059" s="152">
        <v>45687.375</v>
      </c>
      <c r="P1059" s="152">
        <v>45687.385416666664</v>
      </c>
      <c r="Q1059" s="152">
        <v>45687.541666666664</v>
      </c>
      <c r="R1059" s="152" t="s">
        <v>118</v>
      </c>
      <c r="S1059" s="152" t="s">
        <v>118</v>
      </c>
      <c r="T1059" s="152">
        <v>45687.552083333336</v>
      </c>
      <c r="U1059" s="152">
        <v>45687.646527777775</v>
      </c>
      <c r="V1059" s="219">
        <f t="shared" si="631"/>
        <v>0.16666666666424135</v>
      </c>
      <c r="W1059" s="203">
        <v>0.20833333333333334</v>
      </c>
      <c r="X1059" s="219" t="str">
        <f t="shared" si="632"/>
        <v>00:00</v>
      </c>
      <c r="Y1059" s="96">
        <v>0</v>
      </c>
      <c r="Z1059" s="96">
        <v>58</v>
      </c>
      <c r="AA1059" s="96">
        <f t="shared" si="624"/>
        <v>58</v>
      </c>
      <c r="AB1059" s="97">
        <f t="shared" si="625"/>
        <v>0</v>
      </c>
      <c r="AC1059" s="97">
        <f t="shared" si="626"/>
        <v>3950.6600000000003</v>
      </c>
      <c r="AD1059" s="98">
        <v>3950.66</v>
      </c>
      <c r="AE1059" s="98">
        <v>4030.5</v>
      </c>
      <c r="AF1059" s="98">
        <v>4035.6</v>
      </c>
      <c r="AG1059" s="98">
        <f t="shared" si="627"/>
        <v>84.940000000000055</v>
      </c>
      <c r="AH1059" s="99">
        <v>672.5</v>
      </c>
      <c r="AI1059" s="100">
        <f t="shared" si="628"/>
        <v>2713941</v>
      </c>
      <c r="AJ1059" s="100">
        <f>(0.6*AH1059)*2</f>
        <v>807</v>
      </c>
      <c r="AK1059" s="100">
        <v>0</v>
      </c>
      <c r="AL1059" s="100">
        <v>0</v>
      </c>
      <c r="AM1059" s="100">
        <v>0</v>
      </c>
      <c r="AN1059" s="100">
        <v>0</v>
      </c>
      <c r="AO1059" s="100">
        <v>0</v>
      </c>
      <c r="AP1059" s="100">
        <f t="shared" si="613"/>
        <v>135738</v>
      </c>
      <c r="AQ1059" s="101">
        <f t="shared" si="623"/>
        <v>2850486</v>
      </c>
      <c r="AR1059" s="101">
        <v>0</v>
      </c>
      <c r="AS1059" s="101">
        <v>0</v>
      </c>
      <c r="AT1059" s="102" t="s">
        <v>33</v>
      </c>
      <c r="AU1059" s="109" t="s">
        <v>118</v>
      </c>
      <c r="AV1059" s="100">
        <v>0</v>
      </c>
      <c r="AW1059" s="105">
        <v>0</v>
      </c>
      <c r="AX1059" s="216">
        <f t="shared" si="633"/>
        <v>2.1047675686391134</v>
      </c>
      <c r="AY1059" s="217">
        <f t="shared" si="634"/>
        <v>57123</v>
      </c>
      <c r="AZ1059" s="107"/>
      <c r="BA1059" s="94">
        <v>45687.375</v>
      </c>
      <c r="BB1059" s="94">
        <v>45687.385416666664</v>
      </c>
      <c r="BC1059" s="94">
        <v>45687.385416666664</v>
      </c>
      <c r="BD1059" s="94">
        <v>45687.513888888891</v>
      </c>
      <c r="BE1059" s="95">
        <f t="shared" si="635"/>
        <v>0.13888888889050577</v>
      </c>
      <c r="BF1059" s="95">
        <v>0</v>
      </c>
      <c r="BG1059" s="95">
        <v>6.9444444444444441E-3</v>
      </c>
      <c r="BH1059" s="95">
        <f t="shared" si="636"/>
        <v>1.0416666664241347E-2</v>
      </c>
      <c r="BI1059" s="95">
        <f t="shared" si="636"/>
        <v>0</v>
      </c>
      <c r="BJ1059" s="95">
        <f t="shared" si="636"/>
        <v>0.12847222222626442</v>
      </c>
      <c r="BK1059" s="95">
        <f t="shared" si="637"/>
        <v>0.12847222222626442</v>
      </c>
      <c r="BL1059" s="95">
        <f t="shared" si="638"/>
        <v>0.12152777778181997</v>
      </c>
      <c r="BM1059" s="95" t="str">
        <f t="shared" si="639"/>
        <v>00:00</v>
      </c>
      <c r="BN1059" s="110"/>
    </row>
    <row r="1060" spans="1:66" s="8" customFormat="1" ht="12.75" customHeight="1" x14ac:dyDescent="0.25">
      <c r="A1060" s="150">
        <v>976</v>
      </c>
      <c r="B1060" s="150">
        <v>102</v>
      </c>
      <c r="C1060" s="90">
        <v>2</v>
      </c>
      <c r="D1060" s="111" t="s">
        <v>148</v>
      </c>
      <c r="E1060" s="210" t="s">
        <v>1084</v>
      </c>
      <c r="F1060" s="150" t="s">
        <v>19</v>
      </c>
      <c r="G1060" s="150" t="s">
        <v>17</v>
      </c>
      <c r="H1060" s="150" t="s">
        <v>150</v>
      </c>
      <c r="I1060" s="150" t="s">
        <v>625</v>
      </c>
      <c r="J1060" s="151">
        <v>45686</v>
      </c>
      <c r="K1060" s="135" t="s">
        <v>117</v>
      </c>
      <c r="L1060" s="135">
        <v>461000713</v>
      </c>
      <c r="M1060" s="151">
        <v>45688</v>
      </c>
      <c r="N1060" s="152">
        <v>45687.770833333336</v>
      </c>
      <c r="O1060" s="152">
        <v>45687.770833333336</v>
      </c>
      <c r="P1060" s="152">
        <v>45687.777777777781</v>
      </c>
      <c r="Q1060" s="152">
        <v>45687.916666666664</v>
      </c>
      <c r="R1060" s="152" t="s">
        <v>118</v>
      </c>
      <c r="S1060" s="152" t="s">
        <v>118</v>
      </c>
      <c r="T1060" s="152">
        <v>45687.958333333336</v>
      </c>
      <c r="U1060" s="152">
        <v>45688.095138888886</v>
      </c>
      <c r="V1060" s="219">
        <f t="shared" si="631"/>
        <v>0.14583333332848269</v>
      </c>
      <c r="W1060" s="203">
        <v>0.20833333333333334</v>
      </c>
      <c r="X1060" s="219" t="str">
        <f t="shared" si="632"/>
        <v>00:00</v>
      </c>
      <c r="Y1060" s="96">
        <v>0</v>
      </c>
      <c r="Z1060" s="96">
        <v>58</v>
      </c>
      <c r="AA1060" s="96">
        <f t="shared" si="624"/>
        <v>58</v>
      </c>
      <c r="AB1060" s="97">
        <f t="shared" si="625"/>
        <v>0</v>
      </c>
      <c r="AC1060" s="97">
        <f t="shared" si="626"/>
        <v>4028.66</v>
      </c>
      <c r="AD1060" s="98">
        <v>4028.66</v>
      </c>
      <c r="AE1060" s="98">
        <v>4037.6</v>
      </c>
      <c r="AF1060" s="98">
        <v>4053.8</v>
      </c>
      <c r="AG1060" s="98">
        <f t="shared" si="627"/>
        <v>25.140000000000327</v>
      </c>
      <c r="AH1060" s="99">
        <v>672.5</v>
      </c>
      <c r="AI1060" s="100">
        <f t="shared" si="628"/>
        <v>2726180.5</v>
      </c>
      <c r="AJ1060" s="100">
        <f>(1.6*AH1060)*2</f>
        <v>2152</v>
      </c>
      <c r="AK1060" s="100">
        <v>0</v>
      </c>
      <c r="AL1060" s="100">
        <v>0</v>
      </c>
      <c r="AM1060" s="100">
        <v>0</v>
      </c>
      <c r="AN1060" s="100">
        <v>0</v>
      </c>
      <c r="AO1060" s="100">
        <v>0</v>
      </c>
      <c r="AP1060" s="100">
        <f t="shared" si="613"/>
        <v>136417</v>
      </c>
      <c r="AQ1060" s="101">
        <f t="shared" si="623"/>
        <v>2864750</v>
      </c>
      <c r="AR1060" s="101">
        <v>0</v>
      </c>
      <c r="AS1060" s="101">
        <v>0</v>
      </c>
      <c r="AT1060" s="102" t="s">
        <v>33</v>
      </c>
      <c r="AU1060" s="109" t="s">
        <v>118</v>
      </c>
      <c r="AV1060" s="100">
        <v>0</v>
      </c>
      <c r="AW1060" s="105">
        <v>0</v>
      </c>
      <c r="AX1060" s="216">
        <f t="shared" si="633"/>
        <v>0.62015886328877412</v>
      </c>
      <c r="AY1060" s="217">
        <f t="shared" si="634"/>
        <v>16907</v>
      </c>
      <c r="AZ1060" s="107"/>
      <c r="BA1060" s="94">
        <v>45687.770833333336</v>
      </c>
      <c r="BB1060" s="94">
        <v>45687.777777777781</v>
      </c>
      <c r="BC1060" s="94">
        <v>45687.777777777781</v>
      </c>
      <c r="BD1060" s="94">
        <v>45687.895833333336</v>
      </c>
      <c r="BE1060" s="95">
        <f t="shared" si="635"/>
        <v>0.125</v>
      </c>
      <c r="BF1060" s="95">
        <v>0</v>
      </c>
      <c r="BG1060" s="95">
        <v>0</v>
      </c>
      <c r="BH1060" s="95">
        <f t="shared" si="636"/>
        <v>6.9444444452528842E-3</v>
      </c>
      <c r="BI1060" s="95">
        <f t="shared" si="636"/>
        <v>0</v>
      </c>
      <c r="BJ1060" s="95">
        <f t="shared" si="636"/>
        <v>0.11805555555474712</v>
      </c>
      <c r="BK1060" s="95">
        <f t="shared" si="637"/>
        <v>0.11805555555474712</v>
      </c>
      <c r="BL1060" s="95">
        <f t="shared" si="638"/>
        <v>0.11805555555474712</v>
      </c>
      <c r="BM1060" s="95" t="str">
        <f t="shared" si="639"/>
        <v>00:00</v>
      </c>
      <c r="BN1060" s="110"/>
    </row>
    <row r="1061" spans="1:66" s="8" customFormat="1" ht="12.75" customHeight="1" x14ac:dyDescent="0.25">
      <c r="A1061" s="150">
        <v>977</v>
      </c>
      <c r="B1061" s="150">
        <v>103</v>
      </c>
      <c r="C1061" s="90">
        <v>15</v>
      </c>
      <c r="D1061" s="111" t="s">
        <v>148</v>
      </c>
      <c r="E1061" s="210" t="s">
        <v>1077</v>
      </c>
      <c r="F1061" s="150" t="s">
        <v>16</v>
      </c>
      <c r="G1061" s="150" t="s">
        <v>17</v>
      </c>
      <c r="H1061" s="150" t="s">
        <v>150</v>
      </c>
      <c r="I1061" s="150" t="s">
        <v>626</v>
      </c>
      <c r="J1061" s="151">
        <v>45687</v>
      </c>
      <c r="K1061" s="135" t="s">
        <v>122</v>
      </c>
      <c r="L1061" s="135">
        <v>461000714</v>
      </c>
      <c r="M1061" s="151">
        <v>45688</v>
      </c>
      <c r="N1061" s="152">
        <v>45687.90625</v>
      </c>
      <c r="O1061" s="152">
        <v>45687.90625</v>
      </c>
      <c r="P1061" s="152">
        <v>45687.909722222219</v>
      </c>
      <c r="Q1061" s="152">
        <v>45688.114583333336</v>
      </c>
      <c r="R1061" s="152" t="s">
        <v>118</v>
      </c>
      <c r="S1061" s="152" t="s">
        <v>118</v>
      </c>
      <c r="T1061" s="152">
        <v>45688.1875</v>
      </c>
      <c r="U1061" s="152">
        <v>45688.319444444445</v>
      </c>
      <c r="V1061" s="219">
        <f t="shared" si="631"/>
        <v>0.20833333333575865</v>
      </c>
      <c r="W1061" s="203">
        <v>0.20833333333333334</v>
      </c>
      <c r="X1061" s="219">
        <f t="shared" si="632"/>
        <v>2.4253099528692701E-12</v>
      </c>
      <c r="Y1061" s="96">
        <v>0</v>
      </c>
      <c r="Z1061" s="96">
        <v>58</v>
      </c>
      <c r="AA1061" s="96">
        <f t="shared" si="624"/>
        <v>58</v>
      </c>
      <c r="AB1061" s="97">
        <f t="shared" si="625"/>
        <v>0</v>
      </c>
      <c r="AC1061" s="97">
        <f t="shared" si="626"/>
        <v>4013.9700000000003</v>
      </c>
      <c r="AD1061" s="98">
        <v>4013.97</v>
      </c>
      <c r="AE1061" s="98">
        <v>4026.1</v>
      </c>
      <c r="AF1061" s="98">
        <v>4048</v>
      </c>
      <c r="AG1061" s="98">
        <f t="shared" si="627"/>
        <v>34.0300000000002</v>
      </c>
      <c r="AH1061" s="99">
        <v>672.5</v>
      </c>
      <c r="AI1061" s="100">
        <f t="shared" si="628"/>
        <v>2722280</v>
      </c>
      <c r="AJ1061" s="100">
        <f>(0*AH1061)*2</f>
        <v>0</v>
      </c>
      <c r="AK1061" s="100">
        <v>0</v>
      </c>
      <c r="AL1061" s="100">
        <v>24140</v>
      </c>
      <c r="AM1061" s="100">
        <v>0</v>
      </c>
      <c r="AN1061" s="100">
        <v>0</v>
      </c>
      <c r="AO1061" s="100">
        <v>0</v>
      </c>
      <c r="AP1061" s="100">
        <f t="shared" si="613"/>
        <v>137321</v>
      </c>
      <c r="AQ1061" s="101">
        <f t="shared" si="623"/>
        <v>2883741</v>
      </c>
      <c r="AR1061" s="101">
        <v>0</v>
      </c>
      <c r="AS1061" s="101">
        <v>0</v>
      </c>
      <c r="AT1061" s="102" t="s">
        <v>33</v>
      </c>
      <c r="AU1061" s="109">
        <v>16</v>
      </c>
      <c r="AV1061" s="100">
        <f>33.68-18.68</f>
        <v>15</v>
      </c>
      <c r="AW1061" s="105">
        <v>0</v>
      </c>
      <c r="AX1061" s="216">
        <f t="shared" si="633"/>
        <v>0.84066205533597327</v>
      </c>
      <c r="AY1061" s="217">
        <f t="shared" si="634"/>
        <v>22886</v>
      </c>
      <c r="AZ1061" s="107"/>
      <c r="BA1061" s="94">
        <v>45687.90625</v>
      </c>
      <c r="BB1061" s="94">
        <v>45687.909722222219</v>
      </c>
      <c r="BC1061" s="94">
        <v>45687.909722222219</v>
      </c>
      <c r="BD1061" s="94">
        <v>45688.131944444445</v>
      </c>
      <c r="BE1061" s="95">
        <f t="shared" si="635"/>
        <v>0.22569444444525288</v>
      </c>
      <c r="BF1061" s="95">
        <v>0</v>
      </c>
      <c r="BG1061" s="95">
        <v>5.1388888888888887E-2</v>
      </c>
      <c r="BH1061" s="95">
        <f t="shared" si="636"/>
        <v>3.4722222189884633E-3</v>
      </c>
      <c r="BI1061" s="95">
        <f t="shared" si="636"/>
        <v>0</v>
      </c>
      <c r="BJ1061" s="95">
        <f t="shared" si="636"/>
        <v>0.22222222222626442</v>
      </c>
      <c r="BK1061" s="95">
        <f t="shared" si="637"/>
        <v>0.22222222222626442</v>
      </c>
      <c r="BL1061" s="95">
        <f t="shared" si="638"/>
        <v>0.17083333333737555</v>
      </c>
      <c r="BM1061" s="95">
        <f t="shared" si="639"/>
        <v>1.7361111111919542E-2</v>
      </c>
      <c r="BN1061" s="110"/>
    </row>
    <row r="1062" spans="1:66" s="8" customFormat="1" ht="12.75" customHeight="1" x14ac:dyDescent="0.25">
      <c r="A1062" s="150">
        <v>978</v>
      </c>
      <c r="B1062" s="150">
        <v>104</v>
      </c>
      <c r="C1062" s="90">
        <v>3</v>
      </c>
      <c r="D1062" s="111" t="s">
        <v>148</v>
      </c>
      <c r="E1062" s="210" t="s">
        <v>1084</v>
      </c>
      <c r="F1062" s="150" t="s">
        <v>19</v>
      </c>
      <c r="G1062" s="150" t="s">
        <v>17</v>
      </c>
      <c r="H1062" s="150" t="s">
        <v>150</v>
      </c>
      <c r="I1062" s="150" t="s">
        <v>627</v>
      </c>
      <c r="J1062" s="151">
        <v>45687</v>
      </c>
      <c r="K1062" s="135" t="s">
        <v>117</v>
      </c>
      <c r="L1062" s="135">
        <v>461000715</v>
      </c>
      <c r="M1062" s="151">
        <v>45688</v>
      </c>
      <c r="N1062" s="152">
        <v>45688.135416666664</v>
      </c>
      <c r="O1062" s="152">
        <v>45688.135416666664</v>
      </c>
      <c r="P1062" s="152">
        <v>45688.149305555555</v>
      </c>
      <c r="Q1062" s="152">
        <v>45688.322916666664</v>
      </c>
      <c r="R1062" s="152" t="s">
        <v>118</v>
      </c>
      <c r="S1062" s="152" t="s">
        <v>118</v>
      </c>
      <c r="T1062" s="152">
        <v>45688.395833333336</v>
      </c>
      <c r="U1062" s="152">
        <v>45688.493055555555</v>
      </c>
      <c r="V1062" s="219">
        <f t="shared" si="631"/>
        <v>0.1875</v>
      </c>
      <c r="W1062" s="203">
        <v>0.20833333333333334</v>
      </c>
      <c r="X1062" s="219" t="str">
        <f t="shared" si="632"/>
        <v>00:00</v>
      </c>
      <c r="Y1062" s="96">
        <v>0</v>
      </c>
      <c r="Z1062" s="96">
        <v>58</v>
      </c>
      <c r="AA1062" s="96">
        <f t="shared" si="624"/>
        <v>58</v>
      </c>
      <c r="AB1062" s="97">
        <f t="shared" si="625"/>
        <v>0</v>
      </c>
      <c r="AC1062" s="97">
        <f t="shared" si="626"/>
        <v>4041.77</v>
      </c>
      <c r="AD1062" s="98">
        <v>4041.77</v>
      </c>
      <c r="AE1062" s="98">
        <v>4033.8</v>
      </c>
      <c r="AF1062" s="98">
        <v>4055.4</v>
      </c>
      <c r="AG1062" s="98">
        <f t="shared" si="627"/>
        <v>13.630000000000109</v>
      </c>
      <c r="AH1062" s="99">
        <v>672.5</v>
      </c>
      <c r="AI1062" s="100">
        <f t="shared" si="628"/>
        <v>2727256.5</v>
      </c>
      <c r="AJ1062" s="100">
        <f>(0*AH1062)*2</f>
        <v>0</v>
      </c>
      <c r="AK1062" s="100">
        <v>0</v>
      </c>
      <c r="AL1062" s="100">
        <v>24140</v>
      </c>
      <c r="AM1062" s="100">
        <v>0</v>
      </c>
      <c r="AN1062" s="100">
        <v>0</v>
      </c>
      <c r="AO1062" s="100">
        <v>0</v>
      </c>
      <c r="AP1062" s="100">
        <f t="shared" si="613"/>
        <v>137570</v>
      </c>
      <c r="AQ1062" s="101">
        <f t="shared" si="623"/>
        <v>2888967</v>
      </c>
      <c r="AR1062" s="101">
        <v>0</v>
      </c>
      <c r="AS1062" s="101">
        <v>0</v>
      </c>
      <c r="AT1062" s="102" t="s">
        <v>33</v>
      </c>
      <c r="AU1062" s="109">
        <v>11</v>
      </c>
      <c r="AV1062" s="100">
        <f>25.76-18.76</f>
        <v>7</v>
      </c>
      <c r="AW1062" s="105">
        <v>0</v>
      </c>
      <c r="AX1062" s="216">
        <f t="shared" si="633"/>
        <v>0.33609508309908043</v>
      </c>
      <c r="AY1062" s="217">
        <f t="shared" si="634"/>
        <v>9167</v>
      </c>
      <c r="AZ1062" s="107"/>
      <c r="BA1062" s="94">
        <v>45688.135416666664</v>
      </c>
      <c r="BB1062" s="94">
        <v>45688.149305555555</v>
      </c>
      <c r="BC1062" s="94">
        <v>45688.149305555555</v>
      </c>
      <c r="BD1062" s="94">
        <v>45688.269444444442</v>
      </c>
      <c r="BE1062" s="95">
        <f t="shared" si="635"/>
        <v>0.13402777777810115</v>
      </c>
      <c r="BF1062" s="95">
        <v>0</v>
      </c>
      <c r="BG1062" s="95">
        <v>0</v>
      </c>
      <c r="BH1062" s="95">
        <f t="shared" si="636"/>
        <v>1.3888888890505768E-2</v>
      </c>
      <c r="BI1062" s="95">
        <f t="shared" si="636"/>
        <v>0</v>
      </c>
      <c r="BJ1062" s="95">
        <f t="shared" si="636"/>
        <v>0.12013888888759539</v>
      </c>
      <c r="BK1062" s="95">
        <f t="shared" si="637"/>
        <v>0.12013888888759539</v>
      </c>
      <c r="BL1062" s="95">
        <f t="shared" si="638"/>
        <v>0.12013888888759539</v>
      </c>
      <c r="BM1062" s="95" t="str">
        <f t="shared" si="639"/>
        <v>00:00</v>
      </c>
      <c r="BN1062" s="110"/>
    </row>
    <row r="1063" spans="1:66" s="8" customFormat="1" ht="12.75" customHeight="1" x14ac:dyDescent="0.25">
      <c r="A1063" s="150">
        <v>979</v>
      </c>
      <c r="B1063" s="150">
        <v>105</v>
      </c>
      <c r="C1063" s="90">
        <v>4</v>
      </c>
      <c r="D1063" s="111" t="s">
        <v>148</v>
      </c>
      <c r="E1063" s="210" t="s">
        <v>1084</v>
      </c>
      <c r="F1063" s="150" t="s">
        <v>19</v>
      </c>
      <c r="G1063" s="150" t="s">
        <v>17</v>
      </c>
      <c r="H1063" s="150" t="s">
        <v>150</v>
      </c>
      <c r="I1063" s="150" t="s">
        <v>629</v>
      </c>
      <c r="J1063" s="151">
        <v>45687</v>
      </c>
      <c r="K1063" s="135" t="s">
        <v>122</v>
      </c>
      <c r="L1063" s="135">
        <v>461000716</v>
      </c>
      <c r="M1063" s="151">
        <v>45688</v>
      </c>
      <c r="N1063" s="152">
        <v>45688.364583333336</v>
      </c>
      <c r="O1063" s="152">
        <v>45688.364583333336</v>
      </c>
      <c r="P1063" s="152">
        <v>45688.371527777781</v>
      </c>
      <c r="Q1063" s="152">
        <v>45688.541666666664</v>
      </c>
      <c r="R1063" s="152" t="s">
        <v>118</v>
      </c>
      <c r="S1063" s="152" t="s">
        <v>118</v>
      </c>
      <c r="T1063" s="152">
        <v>45688.604166666664</v>
      </c>
      <c r="U1063" s="152">
        <v>45688.715277777781</v>
      </c>
      <c r="V1063" s="219">
        <f t="shared" si="631"/>
        <v>0.17708333332848269</v>
      </c>
      <c r="W1063" s="203">
        <v>0.20833333333333334</v>
      </c>
      <c r="X1063" s="219" t="str">
        <f t="shared" si="632"/>
        <v>00:00</v>
      </c>
      <c r="Y1063" s="96">
        <v>0</v>
      </c>
      <c r="Z1063" s="96">
        <v>58</v>
      </c>
      <c r="AA1063" s="96">
        <f t="shared" si="624"/>
        <v>58</v>
      </c>
      <c r="AB1063" s="97">
        <f t="shared" si="625"/>
        <v>0</v>
      </c>
      <c r="AC1063" s="97">
        <f t="shared" si="626"/>
        <v>4008.6600000000003</v>
      </c>
      <c r="AD1063" s="98">
        <v>4008.66</v>
      </c>
      <c r="AE1063" s="98">
        <v>4018.2</v>
      </c>
      <c r="AF1063" s="98">
        <v>4037.6</v>
      </c>
      <c r="AG1063" s="98">
        <f t="shared" si="627"/>
        <v>28.940000000000055</v>
      </c>
      <c r="AH1063" s="99">
        <v>672.5</v>
      </c>
      <c r="AI1063" s="100">
        <f t="shared" si="628"/>
        <v>2715286</v>
      </c>
      <c r="AJ1063" s="100">
        <f>(0*AH1063)*2</f>
        <v>0</v>
      </c>
      <c r="AK1063" s="100">
        <v>0</v>
      </c>
      <c r="AL1063" s="100">
        <v>24140</v>
      </c>
      <c r="AM1063" s="100">
        <v>0</v>
      </c>
      <c r="AN1063" s="100">
        <v>0</v>
      </c>
      <c r="AO1063" s="100">
        <v>0</v>
      </c>
      <c r="AP1063" s="100">
        <f t="shared" si="613"/>
        <v>136972</v>
      </c>
      <c r="AQ1063" s="101">
        <f t="shared" si="623"/>
        <v>2876398</v>
      </c>
      <c r="AR1063" s="101">
        <v>0</v>
      </c>
      <c r="AS1063" s="101">
        <v>0</v>
      </c>
      <c r="AT1063" s="102" t="s">
        <v>33</v>
      </c>
      <c r="AU1063" s="109">
        <v>11</v>
      </c>
      <c r="AV1063" s="100">
        <f>22.7-16.7</f>
        <v>6</v>
      </c>
      <c r="AW1063" s="105">
        <v>0</v>
      </c>
      <c r="AX1063" s="216">
        <f t="shared" si="633"/>
        <v>0.71676243312859256</v>
      </c>
      <c r="AY1063" s="217">
        <f t="shared" si="634"/>
        <v>19463</v>
      </c>
      <c r="AZ1063" s="107"/>
      <c r="BA1063" s="94">
        <v>45688.364583333336</v>
      </c>
      <c r="BB1063" s="94">
        <v>45688.371527777781</v>
      </c>
      <c r="BC1063" s="94">
        <v>45688.371527777781</v>
      </c>
      <c r="BD1063" s="94">
        <v>45688.501388888886</v>
      </c>
      <c r="BE1063" s="95">
        <f t="shared" si="635"/>
        <v>0.13680555555038154</v>
      </c>
      <c r="BF1063" s="95">
        <v>9.7222222222222224E-3</v>
      </c>
      <c r="BG1063" s="95">
        <v>0</v>
      </c>
      <c r="BH1063" s="95">
        <f t="shared" si="636"/>
        <v>6.9444444452528842E-3</v>
      </c>
      <c r="BI1063" s="95">
        <f t="shared" si="636"/>
        <v>0</v>
      </c>
      <c r="BJ1063" s="95">
        <f t="shared" si="636"/>
        <v>0.12986111110512866</v>
      </c>
      <c r="BK1063" s="95">
        <f t="shared" si="637"/>
        <v>0.12986111110512866</v>
      </c>
      <c r="BL1063" s="95">
        <f t="shared" si="638"/>
        <v>0.12013888888290644</v>
      </c>
      <c r="BM1063" s="95" t="str">
        <f t="shared" si="639"/>
        <v>00:00</v>
      </c>
      <c r="BN1063" s="110"/>
    </row>
    <row r="1064" spans="1:66" s="8" customFormat="1" ht="12.75" customHeight="1" x14ac:dyDescent="0.25">
      <c r="A1064" s="150">
        <v>980</v>
      </c>
      <c r="B1064" s="150">
        <v>106</v>
      </c>
      <c r="C1064" s="90">
        <v>5</v>
      </c>
      <c r="D1064" s="111" t="s">
        <v>148</v>
      </c>
      <c r="E1064" s="210" t="s">
        <v>1084</v>
      </c>
      <c r="F1064" s="150" t="s">
        <v>19</v>
      </c>
      <c r="G1064" s="150" t="s">
        <v>17</v>
      </c>
      <c r="H1064" s="150" t="s">
        <v>150</v>
      </c>
      <c r="I1064" s="150" t="s">
        <v>630</v>
      </c>
      <c r="J1064" s="151">
        <v>45687</v>
      </c>
      <c r="K1064" s="135" t="s">
        <v>117</v>
      </c>
      <c r="L1064" s="135">
        <v>461000717</v>
      </c>
      <c r="M1064" s="151">
        <v>45688</v>
      </c>
      <c r="N1064" s="152">
        <v>45688.625</v>
      </c>
      <c r="O1064" s="152">
        <v>45688.625</v>
      </c>
      <c r="P1064" s="152">
        <v>45688.635416666664</v>
      </c>
      <c r="Q1064" s="152">
        <v>45688.8125</v>
      </c>
      <c r="R1064" s="152" t="s">
        <v>118</v>
      </c>
      <c r="S1064" s="152" t="s">
        <v>118</v>
      </c>
      <c r="T1064" s="152">
        <v>45688.979166666664</v>
      </c>
      <c r="U1064" s="152">
        <v>45689.090277777781</v>
      </c>
      <c r="V1064" s="219">
        <f t="shared" si="631"/>
        <v>0.1875</v>
      </c>
      <c r="W1064" s="203">
        <v>0.20833333333333334</v>
      </c>
      <c r="X1064" s="219" t="str">
        <f t="shared" si="632"/>
        <v>00:00</v>
      </c>
      <c r="Y1064" s="96">
        <v>0</v>
      </c>
      <c r="Z1064" s="96">
        <v>57</v>
      </c>
      <c r="AA1064" s="96">
        <f t="shared" si="624"/>
        <v>57</v>
      </c>
      <c r="AB1064" s="97">
        <f t="shared" si="625"/>
        <v>0</v>
      </c>
      <c r="AC1064" s="97">
        <f t="shared" si="626"/>
        <v>3987.0599999999995</v>
      </c>
      <c r="AD1064" s="98">
        <v>3987.06</v>
      </c>
      <c r="AE1064" s="98">
        <v>3967.4</v>
      </c>
      <c r="AF1064" s="98">
        <v>3967.4</v>
      </c>
      <c r="AG1064" s="98">
        <f t="shared" si="627"/>
        <v>-19.659999999999854</v>
      </c>
      <c r="AH1064" s="99">
        <v>672.5</v>
      </c>
      <c r="AI1064" s="100">
        <f t="shared" si="628"/>
        <v>2668076.5</v>
      </c>
      <c r="AJ1064" s="100">
        <f>(0*AH1064)*2</f>
        <v>0</v>
      </c>
      <c r="AK1064" s="100">
        <v>0</v>
      </c>
      <c r="AL1064" s="100">
        <v>0</v>
      </c>
      <c r="AM1064" s="100">
        <v>0</v>
      </c>
      <c r="AN1064" s="100">
        <v>0</v>
      </c>
      <c r="AO1064" s="100">
        <v>0</v>
      </c>
      <c r="AP1064" s="100">
        <f t="shared" si="613"/>
        <v>133404</v>
      </c>
      <c r="AQ1064" s="101">
        <f t="shared" si="623"/>
        <v>2801481</v>
      </c>
      <c r="AR1064" s="101">
        <v>0</v>
      </c>
      <c r="AS1064" s="101">
        <v>0</v>
      </c>
      <c r="AT1064" s="102" t="s">
        <v>33</v>
      </c>
      <c r="AU1064" s="109">
        <v>19</v>
      </c>
      <c r="AV1064" s="100">
        <f>44.02-31.52</f>
        <v>12.500000000000004</v>
      </c>
      <c r="AW1064" s="105">
        <v>0</v>
      </c>
      <c r="AX1064" s="216">
        <f t="shared" si="633"/>
        <v>-0.49553863991530611</v>
      </c>
      <c r="AY1064" s="217">
        <f t="shared" si="634"/>
        <v>-13222</v>
      </c>
      <c r="AZ1064" s="107"/>
      <c r="BA1064" s="94">
        <v>45688.625</v>
      </c>
      <c r="BB1064" s="94">
        <v>45688.635416666664</v>
      </c>
      <c r="BC1064" s="94">
        <v>45688.635416666664</v>
      </c>
      <c r="BD1064" s="94">
        <v>45688.798611111109</v>
      </c>
      <c r="BE1064" s="95">
        <f t="shared" si="635"/>
        <v>0.17361111110949423</v>
      </c>
      <c r="BF1064" s="95">
        <v>2.4305555555555556E-2</v>
      </c>
      <c r="BG1064" s="95">
        <v>2.0833333333333333E-3</v>
      </c>
      <c r="BH1064" s="95">
        <f t="shared" si="636"/>
        <v>1.0416666664241347E-2</v>
      </c>
      <c r="BI1064" s="95">
        <f t="shared" si="636"/>
        <v>0</v>
      </c>
      <c r="BJ1064" s="95">
        <f t="shared" si="636"/>
        <v>0.16319444444525288</v>
      </c>
      <c r="BK1064" s="95">
        <f t="shared" si="637"/>
        <v>0.16319444444525288</v>
      </c>
      <c r="BL1064" s="95">
        <f t="shared" si="638"/>
        <v>0.13680555555636401</v>
      </c>
      <c r="BM1064" s="95" t="str">
        <f t="shared" si="639"/>
        <v>00:00</v>
      </c>
      <c r="BN1064" s="110"/>
    </row>
    <row r="1065" spans="1:66" s="8" customFormat="1" ht="12.75" customHeight="1" x14ac:dyDescent="0.25">
      <c r="A1065" s="150">
        <v>981</v>
      </c>
      <c r="B1065" s="150">
        <v>107</v>
      </c>
      <c r="C1065" s="90">
        <v>6</v>
      </c>
      <c r="D1065" s="111" t="s">
        <v>148</v>
      </c>
      <c r="E1065" s="210" t="s">
        <v>1084</v>
      </c>
      <c r="F1065" s="150" t="s">
        <v>19</v>
      </c>
      <c r="G1065" s="150" t="s">
        <v>17</v>
      </c>
      <c r="H1065" s="150" t="s">
        <v>150</v>
      </c>
      <c r="I1065" s="150" t="s">
        <v>634</v>
      </c>
      <c r="J1065" s="151">
        <v>45687</v>
      </c>
      <c r="K1065" s="135" t="s">
        <v>122</v>
      </c>
      <c r="L1065" s="135">
        <v>461000718</v>
      </c>
      <c r="M1065" s="151">
        <v>45689</v>
      </c>
      <c r="N1065" s="152">
        <v>45688.895833333336</v>
      </c>
      <c r="O1065" s="152">
        <v>45688.895833333336</v>
      </c>
      <c r="P1065" s="152">
        <v>45688.899305555555</v>
      </c>
      <c r="Q1065" s="152">
        <v>45689.041666666664</v>
      </c>
      <c r="R1065" s="152" t="s">
        <v>118</v>
      </c>
      <c r="S1065" s="152" t="s">
        <v>118</v>
      </c>
      <c r="T1065" s="152">
        <v>45689.611111111109</v>
      </c>
      <c r="U1065" s="152">
        <v>45689.70208333333</v>
      </c>
      <c r="V1065" s="219">
        <f t="shared" si="631"/>
        <v>0.14583333332848269</v>
      </c>
      <c r="W1065" s="203">
        <v>0.20833333333333334</v>
      </c>
      <c r="X1065" s="219" t="str">
        <f t="shared" si="632"/>
        <v>00:00</v>
      </c>
      <c r="Y1065" s="96">
        <v>0</v>
      </c>
      <c r="Z1065" s="96">
        <v>58</v>
      </c>
      <c r="AA1065" s="96">
        <f t="shared" si="624"/>
        <v>58</v>
      </c>
      <c r="AB1065" s="97">
        <f t="shared" si="625"/>
        <v>0</v>
      </c>
      <c r="AC1065" s="97">
        <f t="shared" si="626"/>
        <v>4055.3999999999996</v>
      </c>
      <c r="AD1065" s="98">
        <v>4055.4</v>
      </c>
      <c r="AE1065" s="98">
        <v>4060</v>
      </c>
      <c r="AF1065" s="98">
        <v>4077.8</v>
      </c>
      <c r="AG1065" s="98">
        <f t="shared" si="627"/>
        <v>22.400000000000091</v>
      </c>
      <c r="AH1065" s="99">
        <v>672.5</v>
      </c>
      <c r="AI1065" s="100">
        <f t="shared" si="628"/>
        <v>2742320.5</v>
      </c>
      <c r="AJ1065" s="100">
        <f>(1.8*AH1065)*2</f>
        <v>2421</v>
      </c>
      <c r="AK1065" s="100">
        <v>0</v>
      </c>
      <c r="AL1065" s="100">
        <v>0</v>
      </c>
      <c r="AM1065" s="100">
        <v>0</v>
      </c>
      <c r="AN1065" s="100">
        <v>0</v>
      </c>
      <c r="AO1065" s="100">
        <v>0</v>
      </c>
      <c r="AP1065" s="100">
        <f t="shared" si="613"/>
        <v>137238</v>
      </c>
      <c r="AQ1065" s="101">
        <f t="shared" si="623"/>
        <v>2881980</v>
      </c>
      <c r="AR1065" s="101">
        <v>0</v>
      </c>
      <c r="AS1065" s="101">
        <v>0</v>
      </c>
      <c r="AT1065" s="102" t="s">
        <v>33</v>
      </c>
      <c r="AU1065" s="109" t="s">
        <v>118</v>
      </c>
      <c r="AV1065" s="100">
        <v>0</v>
      </c>
      <c r="AW1065" s="105">
        <v>0</v>
      </c>
      <c r="AX1065" s="216">
        <f t="shared" si="633"/>
        <v>0.54931580754328535</v>
      </c>
      <c r="AY1065" s="217">
        <f t="shared" si="634"/>
        <v>15065</v>
      </c>
      <c r="AZ1065" s="107"/>
      <c r="BA1065" s="94">
        <v>45688.895833333336</v>
      </c>
      <c r="BB1065" s="94">
        <v>45688.899305555555</v>
      </c>
      <c r="BC1065" s="94">
        <v>45688.899305555555</v>
      </c>
      <c r="BD1065" s="94">
        <v>45689.008333333331</v>
      </c>
      <c r="BE1065" s="95">
        <f t="shared" si="635"/>
        <v>0.11249999999563443</v>
      </c>
      <c r="BF1065" s="95">
        <v>0</v>
      </c>
      <c r="BG1065" s="95">
        <v>0</v>
      </c>
      <c r="BH1065" s="95">
        <f t="shared" si="636"/>
        <v>3.4722222189884633E-3</v>
      </c>
      <c r="BI1065" s="95">
        <f t="shared" si="636"/>
        <v>0</v>
      </c>
      <c r="BJ1065" s="95">
        <f t="shared" si="636"/>
        <v>0.10902777777664596</v>
      </c>
      <c r="BK1065" s="95">
        <f t="shared" si="637"/>
        <v>0.10902777777664596</v>
      </c>
      <c r="BL1065" s="95">
        <f t="shared" si="638"/>
        <v>0.10902777777664596</v>
      </c>
      <c r="BM1065" s="95" t="str">
        <f t="shared" si="639"/>
        <v>00:00</v>
      </c>
      <c r="BN1065" s="110"/>
    </row>
    <row r="1066" spans="1:66" s="8" customFormat="1" ht="12.75" customHeight="1" x14ac:dyDescent="0.25">
      <c r="A1066" s="150">
        <v>982</v>
      </c>
      <c r="B1066" s="150">
        <v>1</v>
      </c>
      <c r="C1066" s="90">
        <v>11</v>
      </c>
      <c r="D1066" s="111" t="s">
        <v>113</v>
      </c>
      <c r="E1066" s="210" t="s">
        <v>948</v>
      </c>
      <c r="F1066" s="150" t="s">
        <v>14</v>
      </c>
      <c r="G1066" s="150" t="s">
        <v>15</v>
      </c>
      <c r="H1066" s="150" t="s">
        <v>779</v>
      </c>
      <c r="I1066" s="150" t="s">
        <v>1085</v>
      </c>
      <c r="J1066" s="151">
        <v>45689</v>
      </c>
      <c r="K1066" s="135" t="s">
        <v>117</v>
      </c>
      <c r="L1066" s="135">
        <v>281000281</v>
      </c>
      <c r="M1066" s="151">
        <v>45690</v>
      </c>
      <c r="N1066" s="152">
        <v>45689.645833333336</v>
      </c>
      <c r="O1066" s="152">
        <v>45689.645833333336</v>
      </c>
      <c r="P1066" s="152">
        <v>45689.652777777781</v>
      </c>
      <c r="Q1066" s="152">
        <v>45689.833333333336</v>
      </c>
      <c r="R1066" s="152" t="s">
        <v>118</v>
      </c>
      <c r="S1066" s="152" t="s">
        <v>118</v>
      </c>
      <c r="T1066" s="152">
        <v>45689.993055555555</v>
      </c>
      <c r="U1066" s="152">
        <v>45690.17291666667</v>
      </c>
      <c r="V1066" s="219">
        <f t="shared" si="631"/>
        <v>0.1875</v>
      </c>
      <c r="W1066" s="203">
        <v>0.20833333333333334</v>
      </c>
      <c r="X1066" s="219" t="str">
        <f t="shared" si="632"/>
        <v>00:00</v>
      </c>
      <c r="Y1066" s="96">
        <v>0</v>
      </c>
      <c r="Z1066" s="96">
        <v>58</v>
      </c>
      <c r="AA1066" s="96">
        <f t="shared" si="624"/>
        <v>58</v>
      </c>
      <c r="AB1066" s="97">
        <f t="shared" si="625"/>
        <v>0</v>
      </c>
      <c r="AC1066" s="97">
        <f t="shared" si="626"/>
        <v>3944.9</v>
      </c>
      <c r="AD1066" s="98">
        <v>3944.9</v>
      </c>
      <c r="AE1066" s="98">
        <v>4045.9</v>
      </c>
      <c r="AF1066" s="98">
        <v>4048</v>
      </c>
      <c r="AG1066" s="98">
        <f t="shared" si="627"/>
        <v>103.09999999999991</v>
      </c>
      <c r="AH1066" s="99">
        <v>1435.6</v>
      </c>
      <c r="AI1066" s="100">
        <f t="shared" si="628"/>
        <v>5811308.7999999998</v>
      </c>
      <c r="AJ1066" s="100">
        <f>(0.4*AH1066)*2</f>
        <v>1148.48</v>
      </c>
      <c r="AK1066" s="100">
        <v>0</v>
      </c>
      <c r="AL1066" s="100">
        <v>0</v>
      </c>
      <c r="AM1066" s="100">
        <v>0</v>
      </c>
      <c r="AN1066" s="100">
        <v>0</v>
      </c>
      <c r="AO1066" s="100">
        <v>0</v>
      </c>
      <c r="AP1066" s="100">
        <f t="shared" si="613"/>
        <v>290623</v>
      </c>
      <c r="AQ1066" s="101">
        <f t="shared" si="623"/>
        <v>6103081</v>
      </c>
      <c r="AR1066" s="101">
        <v>0</v>
      </c>
      <c r="AS1066" s="101">
        <v>0</v>
      </c>
      <c r="AT1066" s="102" t="s">
        <v>33</v>
      </c>
      <c r="AU1066" s="109" t="s">
        <v>118</v>
      </c>
      <c r="AV1066" s="100">
        <v>0</v>
      </c>
      <c r="AW1066" s="105">
        <v>0</v>
      </c>
      <c r="AX1066" s="216">
        <f t="shared" si="633"/>
        <v>2.5469367588932785</v>
      </c>
      <c r="AY1066" s="217">
        <f t="shared" si="634"/>
        <v>148011</v>
      </c>
      <c r="AZ1066" s="107"/>
      <c r="BA1066" s="94">
        <v>45689.645833333336</v>
      </c>
      <c r="BB1066" s="94">
        <v>45689.652777777781</v>
      </c>
      <c r="BC1066" s="94">
        <v>45689.652777777781</v>
      </c>
      <c r="BD1066" s="94">
        <v>45689.798611111109</v>
      </c>
      <c r="BE1066" s="95">
        <f t="shared" si="635"/>
        <v>0.15277777777373558</v>
      </c>
      <c r="BF1066" s="95">
        <v>2.0833333333333333E-3</v>
      </c>
      <c r="BG1066" s="95">
        <v>3.5416666666666666E-2</v>
      </c>
      <c r="BH1066" s="95">
        <f t="shared" si="636"/>
        <v>6.9444444452528842E-3</v>
      </c>
      <c r="BI1066" s="95">
        <f t="shared" si="636"/>
        <v>0</v>
      </c>
      <c r="BJ1066" s="95">
        <f t="shared" si="636"/>
        <v>0.14583333332848269</v>
      </c>
      <c r="BK1066" s="95">
        <f t="shared" si="637"/>
        <v>0.14583333332848269</v>
      </c>
      <c r="BL1066" s="95">
        <f t="shared" si="638"/>
        <v>0.1083333333284827</v>
      </c>
      <c r="BM1066" s="95" t="str">
        <f t="shared" si="639"/>
        <v>00:00</v>
      </c>
      <c r="BN1066" s="110"/>
    </row>
    <row r="1067" spans="1:66" s="8" customFormat="1" ht="12.75" customHeight="1" x14ac:dyDescent="0.25">
      <c r="A1067" s="150">
        <v>983</v>
      </c>
      <c r="B1067" s="150">
        <v>2</v>
      </c>
      <c r="C1067" s="90">
        <v>7</v>
      </c>
      <c r="D1067" s="111" t="s">
        <v>148</v>
      </c>
      <c r="E1067" s="210" t="s">
        <v>1084</v>
      </c>
      <c r="F1067" s="150" t="s">
        <v>19</v>
      </c>
      <c r="G1067" s="150" t="s">
        <v>17</v>
      </c>
      <c r="H1067" s="150" t="s">
        <v>150</v>
      </c>
      <c r="I1067" s="150" t="s">
        <v>635</v>
      </c>
      <c r="J1067" s="151">
        <v>45688</v>
      </c>
      <c r="K1067" s="135" t="s">
        <v>122</v>
      </c>
      <c r="L1067" s="135">
        <v>461000719</v>
      </c>
      <c r="M1067" s="151">
        <v>45690</v>
      </c>
      <c r="N1067" s="152">
        <v>45689.791666666664</v>
      </c>
      <c r="O1067" s="152">
        <v>45689.791666666664</v>
      </c>
      <c r="P1067" s="152">
        <v>45689.795138888891</v>
      </c>
      <c r="Q1067" s="152">
        <v>45689.958333333336</v>
      </c>
      <c r="R1067" s="152" t="s">
        <v>118</v>
      </c>
      <c r="S1067" s="152" t="s">
        <v>118</v>
      </c>
      <c r="T1067" s="152">
        <v>45690.333333333336</v>
      </c>
      <c r="U1067" s="152">
        <v>45690.427083333336</v>
      </c>
      <c r="V1067" s="219">
        <f t="shared" si="631"/>
        <v>0.16666666667151731</v>
      </c>
      <c r="W1067" s="203">
        <v>0.20833333333333334</v>
      </c>
      <c r="X1067" s="219" t="str">
        <f t="shared" si="632"/>
        <v>00:00</v>
      </c>
      <c r="Y1067" s="96">
        <v>0</v>
      </c>
      <c r="Z1067" s="96">
        <v>58</v>
      </c>
      <c r="AA1067" s="96">
        <f t="shared" si="624"/>
        <v>58</v>
      </c>
      <c r="AB1067" s="97">
        <f t="shared" si="625"/>
        <v>0</v>
      </c>
      <c r="AC1067" s="97">
        <f t="shared" si="626"/>
        <v>4066.22</v>
      </c>
      <c r="AD1067" s="98">
        <v>4066.22</v>
      </c>
      <c r="AE1067" s="98">
        <v>4038</v>
      </c>
      <c r="AF1067" s="98">
        <v>4077.8</v>
      </c>
      <c r="AG1067" s="98">
        <f t="shared" si="627"/>
        <v>11.580000000000382</v>
      </c>
      <c r="AH1067" s="99">
        <v>672.5</v>
      </c>
      <c r="AI1067" s="100">
        <f t="shared" si="628"/>
        <v>2742320.5</v>
      </c>
      <c r="AJ1067" s="100">
        <f t="shared" ref="AJ1067:AJ1074" si="640">(0*AH1067)*2</f>
        <v>0</v>
      </c>
      <c r="AK1067" s="100">
        <v>0</v>
      </c>
      <c r="AL1067" s="100">
        <v>24140</v>
      </c>
      <c r="AM1067" s="100">
        <v>0</v>
      </c>
      <c r="AN1067" s="100">
        <v>0</v>
      </c>
      <c r="AO1067" s="100">
        <v>0</v>
      </c>
      <c r="AP1067" s="100">
        <f t="shared" si="613"/>
        <v>138324</v>
      </c>
      <c r="AQ1067" s="101">
        <f t="shared" si="623"/>
        <v>2904785</v>
      </c>
      <c r="AR1067" s="101">
        <v>0</v>
      </c>
      <c r="AS1067" s="101">
        <v>0</v>
      </c>
      <c r="AT1067" s="102" t="s">
        <v>33</v>
      </c>
      <c r="AU1067" s="109">
        <v>28</v>
      </c>
      <c r="AV1067" s="100">
        <f>58.98-33.98</f>
        <v>25</v>
      </c>
      <c r="AW1067" s="105">
        <v>0</v>
      </c>
      <c r="AX1067" s="216">
        <f t="shared" si="633"/>
        <v>0.28397665407818878</v>
      </c>
      <c r="AY1067" s="217">
        <f t="shared" si="634"/>
        <v>7788</v>
      </c>
      <c r="AZ1067" s="107"/>
      <c r="BA1067" s="94">
        <v>45689.791666666664</v>
      </c>
      <c r="BB1067" s="94">
        <v>45689.795138888891</v>
      </c>
      <c r="BC1067" s="94">
        <v>45689.822916666664</v>
      </c>
      <c r="BD1067" s="94">
        <v>45689.944444444445</v>
      </c>
      <c r="BE1067" s="95">
        <f t="shared" si="635"/>
        <v>0.15277777778101154</v>
      </c>
      <c r="BF1067" s="95">
        <v>0</v>
      </c>
      <c r="BG1067" s="95">
        <v>2.7777777777777776E-2</v>
      </c>
      <c r="BH1067" s="95">
        <f t="shared" si="636"/>
        <v>3.4722222262644209E-3</v>
      </c>
      <c r="BI1067" s="95">
        <f t="shared" si="636"/>
        <v>2.7777777773735579E-2</v>
      </c>
      <c r="BJ1067" s="95">
        <f t="shared" si="636"/>
        <v>0.12152777778101154</v>
      </c>
      <c r="BK1067" s="95">
        <f t="shared" si="637"/>
        <v>0.14930555555474712</v>
      </c>
      <c r="BL1067" s="95">
        <f t="shared" si="638"/>
        <v>0.12152777777696934</v>
      </c>
      <c r="BM1067" s="95" t="str">
        <f t="shared" si="639"/>
        <v>00:00</v>
      </c>
      <c r="BN1067" s="110"/>
    </row>
    <row r="1068" spans="1:66" s="8" customFormat="1" ht="12.75" customHeight="1" x14ac:dyDescent="0.25">
      <c r="A1068" s="150">
        <v>984</v>
      </c>
      <c r="B1068" s="150">
        <v>3</v>
      </c>
      <c r="C1068" s="90">
        <v>8</v>
      </c>
      <c r="D1068" s="111" t="s">
        <v>148</v>
      </c>
      <c r="E1068" s="210" t="s">
        <v>1084</v>
      </c>
      <c r="F1068" s="150" t="s">
        <v>19</v>
      </c>
      <c r="G1068" s="150" t="s">
        <v>17</v>
      </c>
      <c r="H1068" s="150" t="s">
        <v>150</v>
      </c>
      <c r="I1068" s="150" t="s">
        <v>637</v>
      </c>
      <c r="J1068" s="151">
        <v>45688</v>
      </c>
      <c r="K1068" s="135" t="s">
        <v>117</v>
      </c>
      <c r="L1068" s="135">
        <v>461000720</v>
      </c>
      <c r="M1068" s="151">
        <v>45690</v>
      </c>
      <c r="N1068" s="152">
        <v>45690.583333333336</v>
      </c>
      <c r="O1068" s="152">
        <v>45690.572916666664</v>
      </c>
      <c r="P1068" s="152">
        <v>45690.586805555555</v>
      </c>
      <c r="Q1068" s="152">
        <v>45690.739583333336</v>
      </c>
      <c r="R1068" s="152">
        <v>45690.583333333336</v>
      </c>
      <c r="S1068" s="152" t="s">
        <v>118</v>
      </c>
      <c r="T1068" s="152">
        <v>45690.770833333336</v>
      </c>
      <c r="U1068" s="152">
        <v>45690.892361111109</v>
      </c>
      <c r="V1068" s="219">
        <f t="shared" si="631"/>
        <v>0.16666666667151731</v>
      </c>
      <c r="W1068" s="203">
        <v>0.20833333333333334</v>
      </c>
      <c r="X1068" s="219" t="str">
        <f t="shared" si="632"/>
        <v>00:00</v>
      </c>
      <c r="Y1068" s="96">
        <v>7</v>
      </c>
      <c r="Z1068" s="96">
        <v>51</v>
      </c>
      <c r="AA1068" s="96">
        <f t="shared" si="624"/>
        <v>58</v>
      </c>
      <c r="AB1068" s="97">
        <f t="shared" si="625"/>
        <v>491.36620689655172</v>
      </c>
      <c r="AC1068" s="97">
        <f t="shared" si="626"/>
        <v>3579.9537931034483</v>
      </c>
      <c r="AD1068" s="98">
        <v>4071.32</v>
      </c>
      <c r="AE1068" s="98">
        <v>4030</v>
      </c>
      <c r="AF1068" s="98">
        <v>4082</v>
      </c>
      <c r="AG1068" s="98">
        <f t="shared" si="627"/>
        <v>10.679999999999836</v>
      </c>
      <c r="AH1068" s="99">
        <v>672.5</v>
      </c>
      <c r="AI1068" s="100">
        <f t="shared" si="628"/>
        <v>2745145</v>
      </c>
      <c r="AJ1068" s="100">
        <f t="shared" si="640"/>
        <v>0</v>
      </c>
      <c r="AK1068" s="100">
        <v>0</v>
      </c>
      <c r="AL1068" s="100">
        <v>24140</v>
      </c>
      <c r="AM1068" s="100">
        <v>0</v>
      </c>
      <c r="AN1068" s="100">
        <v>0</v>
      </c>
      <c r="AO1068" s="100">
        <v>0</v>
      </c>
      <c r="AP1068" s="100">
        <f t="shared" si="613"/>
        <v>138465</v>
      </c>
      <c r="AQ1068" s="101">
        <f t="shared" si="623"/>
        <v>2907750</v>
      </c>
      <c r="AR1068" s="101">
        <v>0</v>
      </c>
      <c r="AS1068" s="101">
        <v>0</v>
      </c>
      <c r="AT1068" s="102" t="s">
        <v>33</v>
      </c>
      <c r="AU1068" s="109">
        <v>46</v>
      </c>
      <c r="AV1068" s="100">
        <f>96.99-42.99</f>
        <v>53.999999999999993</v>
      </c>
      <c r="AW1068" s="105">
        <v>0</v>
      </c>
      <c r="AX1068" s="216">
        <f t="shared" si="633"/>
        <v>0.26163645271925129</v>
      </c>
      <c r="AY1068" s="217">
        <f t="shared" si="634"/>
        <v>7183</v>
      </c>
      <c r="AZ1068" s="107"/>
      <c r="BA1068" s="94">
        <v>45690.583333333336</v>
      </c>
      <c r="BB1068" s="94">
        <v>45690.586805555555</v>
      </c>
      <c r="BC1068" s="94">
        <v>45690.586805555555</v>
      </c>
      <c r="BD1068" s="94">
        <v>45690.697916666664</v>
      </c>
      <c r="BE1068" s="95">
        <f t="shared" si="635"/>
        <v>0.11458333332848269</v>
      </c>
      <c r="BF1068" s="95">
        <v>0</v>
      </c>
      <c r="BG1068" s="95">
        <v>0</v>
      </c>
      <c r="BH1068" s="95">
        <f t="shared" si="636"/>
        <v>3.4722222189884633E-3</v>
      </c>
      <c r="BI1068" s="95">
        <f t="shared" si="636"/>
        <v>0</v>
      </c>
      <c r="BJ1068" s="95">
        <f t="shared" si="636"/>
        <v>0.11111111110949423</v>
      </c>
      <c r="BK1068" s="95">
        <f t="shared" si="637"/>
        <v>0.11111111110949423</v>
      </c>
      <c r="BL1068" s="95">
        <f t="shared" si="638"/>
        <v>0.11111111110949423</v>
      </c>
      <c r="BM1068" s="95" t="str">
        <f t="shared" si="639"/>
        <v>00:00</v>
      </c>
      <c r="BN1068" s="110"/>
    </row>
    <row r="1069" spans="1:66" s="8" customFormat="1" ht="12.75" customHeight="1" x14ac:dyDescent="0.25">
      <c r="A1069" s="150">
        <v>985</v>
      </c>
      <c r="B1069" s="150">
        <v>4</v>
      </c>
      <c r="C1069" s="90">
        <v>9</v>
      </c>
      <c r="D1069" s="111" t="s">
        <v>148</v>
      </c>
      <c r="E1069" s="210" t="s">
        <v>1084</v>
      </c>
      <c r="F1069" s="150" t="s">
        <v>19</v>
      </c>
      <c r="G1069" s="150" t="s">
        <v>17</v>
      </c>
      <c r="H1069" s="150" t="s">
        <v>150</v>
      </c>
      <c r="I1069" s="150" t="s">
        <v>639</v>
      </c>
      <c r="J1069" s="151">
        <v>45688</v>
      </c>
      <c r="K1069" s="135" t="s">
        <v>122</v>
      </c>
      <c r="L1069" s="135">
        <v>461000721</v>
      </c>
      <c r="M1069" s="151">
        <v>45691</v>
      </c>
      <c r="N1069" s="152">
        <v>45690.697916666664</v>
      </c>
      <c r="O1069" s="152">
        <v>45690.697916666664</v>
      </c>
      <c r="P1069" s="152">
        <v>45690.701388888891</v>
      </c>
      <c r="Q1069" s="152">
        <v>45690.90625</v>
      </c>
      <c r="R1069" s="152" t="s">
        <v>118</v>
      </c>
      <c r="S1069" s="152" t="s">
        <v>118</v>
      </c>
      <c r="T1069" s="152">
        <v>45690.979166666664</v>
      </c>
      <c r="U1069" s="152">
        <v>45691.152777777781</v>
      </c>
      <c r="V1069" s="219">
        <f t="shared" si="631"/>
        <v>0.20833333333575865</v>
      </c>
      <c r="W1069" s="203">
        <v>0.20833333333333334</v>
      </c>
      <c r="X1069" s="219">
        <f t="shared" si="632"/>
        <v>2.4253099528692701E-12</v>
      </c>
      <c r="Y1069" s="96">
        <v>0</v>
      </c>
      <c r="Z1069" s="96">
        <v>59</v>
      </c>
      <c r="AA1069" s="96">
        <f t="shared" si="624"/>
        <v>59</v>
      </c>
      <c r="AB1069" s="97">
        <f t="shared" si="625"/>
        <v>0</v>
      </c>
      <c r="AC1069" s="97">
        <f t="shared" si="626"/>
        <v>4170.46</v>
      </c>
      <c r="AD1069" s="98">
        <v>4170.46</v>
      </c>
      <c r="AE1069" s="98">
        <v>4128.1000000000004</v>
      </c>
      <c r="AF1069" s="98">
        <v>4181.8</v>
      </c>
      <c r="AG1069" s="98">
        <f t="shared" si="627"/>
        <v>11.340000000000146</v>
      </c>
      <c r="AH1069" s="99">
        <v>672.5</v>
      </c>
      <c r="AI1069" s="100">
        <f t="shared" si="628"/>
        <v>2812260.5</v>
      </c>
      <c r="AJ1069" s="100">
        <f t="shared" si="640"/>
        <v>0</v>
      </c>
      <c r="AK1069" s="100">
        <v>0</v>
      </c>
      <c r="AL1069" s="100">
        <v>48580</v>
      </c>
      <c r="AM1069" s="100">
        <v>0</v>
      </c>
      <c r="AN1069" s="100">
        <v>0</v>
      </c>
      <c r="AO1069" s="100">
        <v>0</v>
      </c>
      <c r="AP1069" s="100">
        <f t="shared" si="613"/>
        <v>143043</v>
      </c>
      <c r="AQ1069" s="101">
        <f t="shared" si="623"/>
        <v>3003884</v>
      </c>
      <c r="AR1069" s="101">
        <v>0</v>
      </c>
      <c r="AS1069" s="101">
        <v>0</v>
      </c>
      <c r="AT1069" s="102" t="s">
        <v>33</v>
      </c>
      <c r="AU1069" s="109">
        <v>41</v>
      </c>
      <c r="AV1069" s="100">
        <f>87.89-44.89</f>
        <v>43</v>
      </c>
      <c r="AW1069" s="105">
        <v>0</v>
      </c>
      <c r="AX1069" s="216">
        <f t="shared" si="633"/>
        <v>0.27117509206562118</v>
      </c>
      <c r="AY1069" s="217">
        <f t="shared" si="634"/>
        <v>7627</v>
      </c>
      <c r="AZ1069" s="107"/>
      <c r="BA1069" s="94">
        <v>45690.697916666664</v>
      </c>
      <c r="BB1069" s="94">
        <v>45690.701388888891</v>
      </c>
      <c r="BC1069" s="94">
        <v>45690.701388888891</v>
      </c>
      <c r="BD1069" s="94">
        <v>45690.819444444445</v>
      </c>
      <c r="BE1069" s="95">
        <f t="shared" si="635"/>
        <v>0.12152777778101154</v>
      </c>
      <c r="BF1069" s="95">
        <v>0</v>
      </c>
      <c r="BG1069" s="95">
        <v>0</v>
      </c>
      <c r="BH1069" s="95">
        <f t="shared" si="636"/>
        <v>3.4722222262644209E-3</v>
      </c>
      <c r="BI1069" s="95">
        <f t="shared" si="636"/>
        <v>0</v>
      </c>
      <c r="BJ1069" s="95">
        <f t="shared" si="636"/>
        <v>0.11805555555474712</v>
      </c>
      <c r="BK1069" s="95">
        <f t="shared" si="637"/>
        <v>0.11805555555474712</v>
      </c>
      <c r="BL1069" s="95">
        <f t="shared" si="638"/>
        <v>0.11805555555474712</v>
      </c>
      <c r="BM1069" s="95" t="str">
        <f t="shared" si="639"/>
        <v>00:00</v>
      </c>
      <c r="BN1069" s="110"/>
    </row>
    <row r="1070" spans="1:66" s="8" customFormat="1" ht="12.75" customHeight="1" x14ac:dyDescent="0.25">
      <c r="A1070" s="150">
        <v>986</v>
      </c>
      <c r="B1070" s="150">
        <v>5</v>
      </c>
      <c r="C1070" s="90">
        <v>10</v>
      </c>
      <c r="D1070" s="111" t="s">
        <v>148</v>
      </c>
      <c r="E1070" s="210" t="s">
        <v>1084</v>
      </c>
      <c r="F1070" s="150" t="s">
        <v>19</v>
      </c>
      <c r="G1070" s="150" t="s">
        <v>17</v>
      </c>
      <c r="H1070" s="150" t="s">
        <v>150</v>
      </c>
      <c r="I1070" s="150" t="s">
        <v>641</v>
      </c>
      <c r="J1070" s="151">
        <v>45688</v>
      </c>
      <c r="K1070" s="135" t="s">
        <v>117</v>
      </c>
      <c r="L1070" s="135">
        <v>461000722</v>
      </c>
      <c r="M1070" s="151">
        <v>45691</v>
      </c>
      <c r="N1070" s="152">
        <v>45691.010416666664</v>
      </c>
      <c r="O1070" s="152">
        <v>45691.010416666664</v>
      </c>
      <c r="P1070" s="152">
        <v>45691.017361111109</v>
      </c>
      <c r="Q1070" s="152">
        <v>45691.166666666664</v>
      </c>
      <c r="R1070" s="152" t="s">
        <v>118</v>
      </c>
      <c r="S1070" s="152" t="s">
        <v>118</v>
      </c>
      <c r="T1070" s="152">
        <v>45691.208333333336</v>
      </c>
      <c r="U1070" s="152">
        <v>45691.375</v>
      </c>
      <c r="V1070" s="219">
        <f t="shared" si="631"/>
        <v>0.15625</v>
      </c>
      <c r="W1070" s="203">
        <v>0.20833333333333334</v>
      </c>
      <c r="X1070" s="219" t="str">
        <f t="shared" si="632"/>
        <v>00:00</v>
      </c>
      <c r="Y1070" s="96">
        <v>0</v>
      </c>
      <c r="Z1070" s="96">
        <v>58</v>
      </c>
      <c r="AA1070" s="96">
        <f t="shared" si="624"/>
        <v>58</v>
      </c>
      <c r="AB1070" s="97">
        <f t="shared" si="625"/>
        <v>0</v>
      </c>
      <c r="AC1070" s="97">
        <f t="shared" si="626"/>
        <v>4089.1800000000003</v>
      </c>
      <c r="AD1070" s="98">
        <v>4089.18</v>
      </c>
      <c r="AE1070" s="98">
        <v>4050.8</v>
      </c>
      <c r="AF1070" s="98">
        <v>4099.3999999999996</v>
      </c>
      <c r="AG1070" s="98">
        <f t="shared" si="627"/>
        <v>10.2199999999998</v>
      </c>
      <c r="AH1070" s="99">
        <v>672.5</v>
      </c>
      <c r="AI1070" s="100">
        <f t="shared" si="628"/>
        <v>2756846.4999999995</v>
      </c>
      <c r="AJ1070" s="100">
        <f t="shared" si="640"/>
        <v>0</v>
      </c>
      <c r="AK1070" s="100">
        <v>0</v>
      </c>
      <c r="AL1070" s="100">
        <v>24140</v>
      </c>
      <c r="AM1070" s="100">
        <v>0</v>
      </c>
      <c r="AN1070" s="100">
        <v>0</v>
      </c>
      <c r="AO1070" s="100">
        <v>0</v>
      </c>
      <c r="AP1070" s="100">
        <f t="shared" si="613"/>
        <v>139050</v>
      </c>
      <c r="AQ1070" s="101">
        <f t="shared" si="623"/>
        <v>2920037</v>
      </c>
      <c r="AR1070" s="101">
        <v>0</v>
      </c>
      <c r="AS1070" s="101">
        <v>0</v>
      </c>
      <c r="AT1070" s="102" t="s">
        <v>33</v>
      </c>
      <c r="AU1070" s="109">
        <v>36</v>
      </c>
      <c r="AV1070" s="100">
        <f>71.21-40.71</f>
        <v>30.499999999999993</v>
      </c>
      <c r="AW1070" s="105">
        <v>0</v>
      </c>
      <c r="AX1070" s="216">
        <f t="shared" si="633"/>
        <v>0.24930477630872322</v>
      </c>
      <c r="AY1070" s="217">
        <f t="shared" si="634"/>
        <v>6873</v>
      </c>
      <c r="AZ1070" s="107"/>
      <c r="BA1070" s="94">
        <v>45691.010416666664</v>
      </c>
      <c r="BB1070" s="94">
        <v>45691.017361111109</v>
      </c>
      <c r="BC1070" s="94">
        <v>45691.017361111109</v>
      </c>
      <c r="BD1070" s="94">
        <v>45691.136111111111</v>
      </c>
      <c r="BE1070" s="95">
        <f t="shared" si="635"/>
        <v>0.12569444444670808</v>
      </c>
      <c r="BF1070" s="95">
        <v>0</v>
      </c>
      <c r="BG1070" s="95">
        <v>0</v>
      </c>
      <c r="BH1070" s="95">
        <f t="shared" si="636"/>
        <v>6.9444444452528842E-3</v>
      </c>
      <c r="BI1070" s="95">
        <f t="shared" si="636"/>
        <v>0</v>
      </c>
      <c r="BJ1070" s="95">
        <f t="shared" si="636"/>
        <v>0.11875000000145519</v>
      </c>
      <c r="BK1070" s="95">
        <f t="shared" si="637"/>
        <v>0.11875000000145519</v>
      </c>
      <c r="BL1070" s="95">
        <f t="shared" si="638"/>
        <v>0.11875000000145519</v>
      </c>
      <c r="BM1070" s="95" t="str">
        <f t="shared" si="639"/>
        <v>00:00</v>
      </c>
      <c r="BN1070" s="110"/>
    </row>
    <row r="1071" spans="1:66" s="8" customFormat="1" ht="12.75" customHeight="1" x14ac:dyDescent="0.25">
      <c r="A1071" s="150">
        <v>987</v>
      </c>
      <c r="B1071" s="150">
        <v>6</v>
      </c>
      <c r="C1071" s="90">
        <v>11</v>
      </c>
      <c r="D1071" s="111" t="s">
        <v>148</v>
      </c>
      <c r="E1071" s="210" t="s">
        <v>1084</v>
      </c>
      <c r="F1071" s="150" t="s">
        <v>19</v>
      </c>
      <c r="G1071" s="150" t="s">
        <v>17</v>
      </c>
      <c r="H1071" s="150" t="s">
        <v>150</v>
      </c>
      <c r="I1071" s="150" t="s">
        <v>642</v>
      </c>
      <c r="J1071" s="151">
        <v>45689</v>
      </c>
      <c r="K1071" s="135" t="s">
        <v>122</v>
      </c>
      <c r="L1071" s="135">
        <v>461000723</v>
      </c>
      <c r="M1071" s="151">
        <v>45691</v>
      </c>
      <c r="N1071" s="152">
        <v>45691.208333333336</v>
      </c>
      <c r="O1071" s="152">
        <v>45691.208333333336</v>
      </c>
      <c r="P1071" s="152">
        <v>45691.21875</v>
      </c>
      <c r="Q1071" s="152">
        <v>45691.395833333336</v>
      </c>
      <c r="R1071" s="152" t="s">
        <v>118</v>
      </c>
      <c r="S1071" s="152" t="s">
        <v>118</v>
      </c>
      <c r="T1071" s="152">
        <v>45691.423611111109</v>
      </c>
      <c r="U1071" s="152">
        <v>45691.510416666664</v>
      </c>
      <c r="V1071" s="219">
        <f t="shared" si="631"/>
        <v>0.1875</v>
      </c>
      <c r="W1071" s="203">
        <v>0.20833333333333334</v>
      </c>
      <c r="X1071" s="219" t="str">
        <f t="shared" si="632"/>
        <v>00:00</v>
      </c>
      <c r="Y1071" s="96">
        <v>0</v>
      </c>
      <c r="Z1071" s="96">
        <v>58</v>
      </c>
      <c r="AA1071" s="96">
        <f t="shared" si="624"/>
        <v>58</v>
      </c>
      <c r="AB1071" s="97">
        <f t="shared" si="625"/>
        <v>0</v>
      </c>
      <c r="AC1071" s="97">
        <f t="shared" si="626"/>
        <v>3992.66</v>
      </c>
      <c r="AD1071" s="98">
        <v>3992.66</v>
      </c>
      <c r="AE1071" s="98">
        <v>4018.2</v>
      </c>
      <c r="AF1071" s="98">
        <v>4032.2</v>
      </c>
      <c r="AG1071" s="98">
        <f t="shared" si="627"/>
        <v>39.539999999999964</v>
      </c>
      <c r="AH1071" s="99">
        <v>672.5</v>
      </c>
      <c r="AI1071" s="100">
        <f t="shared" si="628"/>
        <v>2711654.5</v>
      </c>
      <c r="AJ1071" s="100">
        <f t="shared" si="640"/>
        <v>0</v>
      </c>
      <c r="AK1071" s="100">
        <v>0</v>
      </c>
      <c r="AL1071" s="100">
        <v>32840</v>
      </c>
      <c r="AM1071" s="100">
        <v>0</v>
      </c>
      <c r="AN1071" s="100">
        <v>0</v>
      </c>
      <c r="AO1071" s="100">
        <v>0</v>
      </c>
      <c r="AP1071" s="100">
        <f t="shared" si="613"/>
        <v>137225</v>
      </c>
      <c r="AQ1071" s="101">
        <f t="shared" si="623"/>
        <v>2881720</v>
      </c>
      <c r="AR1071" s="101">
        <v>0</v>
      </c>
      <c r="AS1071" s="101">
        <v>0</v>
      </c>
      <c r="AT1071" s="102" t="s">
        <v>33</v>
      </c>
      <c r="AU1071" s="109">
        <v>8</v>
      </c>
      <c r="AV1071" s="100">
        <f>16.8-11.8</f>
        <v>5</v>
      </c>
      <c r="AW1071" s="105">
        <v>0</v>
      </c>
      <c r="AX1071" s="216">
        <f t="shared" si="633"/>
        <v>0.98060612072813758</v>
      </c>
      <c r="AY1071" s="217">
        <f t="shared" si="634"/>
        <v>26591</v>
      </c>
      <c r="AZ1071" s="107"/>
      <c r="BA1071" s="94">
        <v>45691.208333333336</v>
      </c>
      <c r="BB1071" s="94">
        <v>45691.21875</v>
      </c>
      <c r="BC1071" s="94">
        <v>45691.21875</v>
      </c>
      <c r="BD1071" s="94">
        <v>45691.354166666664</v>
      </c>
      <c r="BE1071" s="95">
        <f t="shared" si="635"/>
        <v>0.14583333332848269</v>
      </c>
      <c r="BF1071" s="95">
        <v>0</v>
      </c>
      <c r="BG1071" s="95">
        <v>4.8611111111111112E-3</v>
      </c>
      <c r="BH1071" s="95">
        <f t="shared" si="636"/>
        <v>1.0416666664241347E-2</v>
      </c>
      <c r="BI1071" s="95">
        <f t="shared" si="636"/>
        <v>0</v>
      </c>
      <c r="BJ1071" s="95">
        <f t="shared" si="636"/>
        <v>0.13541666666424135</v>
      </c>
      <c r="BK1071" s="95">
        <f t="shared" si="637"/>
        <v>0.13541666666424135</v>
      </c>
      <c r="BL1071" s="95">
        <f t="shared" si="638"/>
        <v>0.13055555555313023</v>
      </c>
      <c r="BM1071" s="95" t="str">
        <f t="shared" si="639"/>
        <v>00:00</v>
      </c>
      <c r="BN1071" s="110"/>
    </row>
    <row r="1072" spans="1:66" s="8" customFormat="1" ht="12.75" customHeight="1" x14ac:dyDescent="0.25">
      <c r="A1072" s="150">
        <v>988</v>
      </c>
      <c r="B1072" s="150">
        <v>7</v>
      </c>
      <c r="C1072" s="90">
        <v>12</v>
      </c>
      <c r="D1072" s="111" t="s">
        <v>148</v>
      </c>
      <c r="E1072" s="210" t="s">
        <v>1084</v>
      </c>
      <c r="F1072" s="150" t="s">
        <v>19</v>
      </c>
      <c r="G1072" s="150" t="s">
        <v>17</v>
      </c>
      <c r="H1072" s="150" t="s">
        <v>150</v>
      </c>
      <c r="I1072" s="150" t="s">
        <v>643</v>
      </c>
      <c r="J1072" s="151">
        <v>45689</v>
      </c>
      <c r="K1072" s="135" t="s">
        <v>117</v>
      </c>
      <c r="L1072" s="135">
        <v>461000724</v>
      </c>
      <c r="M1072" s="151">
        <v>45691</v>
      </c>
      <c r="N1072" s="152">
        <v>45691.40625</v>
      </c>
      <c r="O1072" s="152">
        <v>45691.40625</v>
      </c>
      <c r="P1072" s="152">
        <v>45691.409722222219</v>
      </c>
      <c r="Q1072" s="152">
        <v>45691.604166666664</v>
      </c>
      <c r="R1072" s="152" t="s">
        <v>118</v>
      </c>
      <c r="S1072" s="152" t="s">
        <v>118</v>
      </c>
      <c r="T1072" s="152">
        <v>45691.680555555555</v>
      </c>
      <c r="U1072" s="152">
        <v>45691.822916666664</v>
      </c>
      <c r="V1072" s="219">
        <f t="shared" si="631"/>
        <v>0.19791666666424135</v>
      </c>
      <c r="W1072" s="203">
        <v>0.20833333333333334</v>
      </c>
      <c r="X1072" s="219" t="str">
        <f t="shared" si="632"/>
        <v>00:00</v>
      </c>
      <c r="Y1072" s="96">
        <v>7</v>
      </c>
      <c r="Z1072" s="96">
        <v>52</v>
      </c>
      <c r="AA1072" s="96">
        <f t="shared" si="624"/>
        <v>59</v>
      </c>
      <c r="AB1072" s="97">
        <f t="shared" si="625"/>
        <v>485.73</v>
      </c>
      <c r="AC1072" s="97">
        <f t="shared" si="626"/>
        <v>3608.28</v>
      </c>
      <c r="AD1072" s="98">
        <v>4094.01</v>
      </c>
      <c r="AE1072" s="98">
        <v>4096.3999999999996</v>
      </c>
      <c r="AF1072" s="98">
        <v>4115.8</v>
      </c>
      <c r="AG1072" s="98">
        <f t="shared" si="627"/>
        <v>21.789999999999964</v>
      </c>
      <c r="AH1072" s="99">
        <v>672.5</v>
      </c>
      <c r="AI1072" s="100">
        <f t="shared" si="628"/>
        <v>2767875.5</v>
      </c>
      <c r="AJ1072" s="100">
        <f t="shared" si="640"/>
        <v>0</v>
      </c>
      <c r="AK1072" s="100">
        <v>0</v>
      </c>
      <c r="AL1072" s="100">
        <v>24290</v>
      </c>
      <c r="AM1072" s="100">
        <v>0</v>
      </c>
      <c r="AN1072" s="100">
        <v>0</v>
      </c>
      <c r="AO1072" s="100">
        <v>0</v>
      </c>
      <c r="AP1072" s="100">
        <f t="shared" si="613"/>
        <v>139609</v>
      </c>
      <c r="AQ1072" s="101">
        <f t="shared" si="623"/>
        <v>2931775</v>
      </c>
      <c r="AR1072" s="101">
        <v>0</v>
      </c>
      <c r="AS1072" s="101">
        <v>0</v>
      </c>
      <c r="AT1072" s="102" t="s">
        <v>33</v>
      </c>
      <c r="AU1072" s="109">
        <v>14</v>
      </c>
      <c r="AV1072" s="100">
        <f>23.81-15.81</f>
        <v>7.9999999999999982</v>
      </c>
      <c r="AW1072" s="105">
        <v>0</v>
      </c>
      <c r="AX1072" s="216">
        <f t="shared" si="633"/>
        <v>0.52942319840614127</v>
      </c>
      <c r="AY1072" s="217">
        <f t="shared" si="634"/>
        <v>14654</v>
      </c>
      <c r="AZ1072" s="107"/>
      <c r="BA1072" s="94">
        <v>45691.40625</v>
      </c>
      <c r="BB1072" s="94">
        <v>45691.409722222219</v>
      </c>
      <c r="BC1072" s="94">
        <v>45691.416666666664</v>
      </c>
      <c r="BD1072" s="94">
        <v>45691.527777777781</v>
      </c>
      <c r="BE1072" s="95">
        <f t="shared" si="635"/>
        <v>0.12152777778101154</v>
      </c>
      <c r="BF1072" s="95">
        <v>9.7222222222222224E-3</v>
      </c>
      <c r="BG1072" s="95">
        <v>6.9444444444444441E-3</v>
      </c>
      <c r="BH1072" s="95">
        <f t="shared" si="636"/>
        <v>3.4722222189884633E-3</v>
      </c>
      <c r="BI1072" s="95">
        <f t="shared" si="636"/>
        <v>6.9444444452528842E-3</v>
      </c>
      <c r="BJ1072" s="95">
        <f t="shared" si="636"/>
        <v>0.11111111111677019</v>
      </c>
      <c r="BK1072" s="95">
        <f t="shared" si="637"/>
        <v>0.11805555556202307</v>
      </c>
      <c r="BL1072" s="95">
        <f t="shared" si="638"/>
        <v>0.10138888889535641</v>
      </c>
      <c r="BM1072" s="95" t="str">
        <f t="shared" si="639"/>
        <v>00:00</v>
      </c>
      <c r="BN1072" s="110"/>
    </row>
    <row r="1073" spans="1:66" s="8" customFormat="1" ht="12.75" customHeight="1" x14ac:dyDescent="0.25">
      <c r="A1073" s="150">
        <v>989</v>
      </c>
      <c r="B1073" s="150">
        <v>8</v>
      </c>
      <c r="C1073" s="90">
        <v>13</v>
      </c>
      <c r="D1073" s="111" t="s">
        <v>148</v>
      </c>
      <c r="E1073" s="210" t="s">
        <v>1084</v>
      </c>
      <c r="F1073" s="150" t="s">
        <v>19</v>
      </c>
      <c r="G1073" s="150" t="s">
        <v>17</v>
      </c>
      <c r="H1073" s="150" t="s">
        <v>150</v>
      </c>
      <c r="I1073" s="150" t="s">
        <v>646</v>
      </c>
      <c r="J1073" s="151">
        <v>45689</v>
      </c>
      <c r="K1073" s="135" t="s">
        <v>122</v>
      </c>
      <c r="L1073" s="135">
        <v>461000725</v>
      </c>
      <c r="M1073" s="151">
        <v>45692</v>
      </c>
      <c r="N1073" s="152">
        <v>45691.729166666664</v>
      </c>
      <c r="O1073" s="152">
        <v>45691.729166666664</v>
      </c>
      <c r="P1073" s="152">
        <v>45691.732638888891</v>
      </c>
      <c r="Q1073" s="152">
        <v>45691.927083333336</v>
      </c>
      <c r="R1073" s="152" t="s">
        <v>118</v>
      </c>
      <c r="S1073" s="152" t="s">
        <v>118</v>
      </c>
      <c r="T1073" s="152">
        <v>45692.104166666664</v>
      </c>
      <c r="U1073" s="152">
        <v>45692.25</v>
      </c>
      <c r="V1073" s="219">
        <f t="shared" si="631"/>
        <v>0.19791666667151731</v>
      </c>
      <c r="W1073" s="203">
        <v>0.20833333333333334</v>
      </c>
      <c r="X1073" s="219" t="str">
        <f t="shared" si="632"/>
        <v>00:00</v>
      </c>
      <c r="Y1073" s="96">
        <v>0</v>
      </c>
      <c r="Z1073" s="96">
        <v>57</v>
      </c>
      <c r="AA1073" s="96">
        <f t="shared" si="624"/>
        <v>57</v>
      </c>
      <c r="AB1073" s="97">
        <f t="shared" si="625"/>
        <v>0</v>
      </c>
      <c r="AC1073" s="97">
        <f t="shared" si="626"/>
        <v>3980.7199999999993</v>
      </c>
      <c r="AD1073" s="98">
        <v>3980.72</v>
      </c>
      <c r="AE1073" s="98">
        <v>3961.7</v>
      </c>
      <c r="AF1073" s="98">
        <v>3992.8</v>
      </c>
      <c r="AG1073" s="98">
        <f t="shared" si="627"/>
        <v>12.080000000000382</v>
      </c>
      <c r="AH1073" s="99">
        <v>672.5</v>
      </c>
      <c r="AI1073" s="100">
        <f t="shared" si="628"/>
        <v>2685158</v>
      </c>
      <c r="AJ1073" s="100">
        <f t="shared" si="640"/>
        <v>0</v>
      </c>
      <c r="AK1073" s="100">
        <v>0</v>
      </c>
      <c r="AL1073" s="100">
        <v>23990</v>
      </c>
      <c r="AM1073" s="100">
        <v>0</v>
      </c>
      <c r="AN1073" s="100">
        <v>0</v>
      </c>
      <c r="AO1073" s="100">
        <v>0</v>
      </c>
      <c r="AP1073" s="100">
        <f t="shared" si="613"/>
        <v>135458</v>
      </c>
      <c r="AQ1073" s="101">
        <f t="shared" si="623"/>
        <v>2844606</v>
      </c>
      <c r="AR1073" s="101">
        <v>0</v>
      </c>
      <c r="AS1073" s="101">
        <v>0</v>
      </c>
      <c r="AT1073" s="102" t="s">
        <v>33</v>
      </c>
      <c r="AU1073" s="109">
        <v>14</v>
      </c>
      <c r="AV1073" s="100">
        <f>37.01-28.01</f>
        <v>8.9999999999999964</v>
      </c>
      <c r="AW1073" s="105">
        <v>0</v>
      </c>
      <c r="AX1073" s="216">
        <f t="shared" si="633"/>
        <v>0.30254458024444952</v>
      </c>
      <c r="AY1073" s="217">
        <f t="shared" si="634"/>
        <v>8124</v>
      </c>
      <c r="AZ1073" s="107"/>
      <c r="BA1073" s="94">
        <v>45691.729166666664</v>
      </c>
      <c r="BB1073" s="94">
        <v>45691.732638888891</v>
      </c>
      <c r="BC1073" s="94">
        <v>45691.732638888891</v>
      </c>
      <c r="BD1073" s="94">
        <v>45691.841666666667</v>
      </c>
      <c r="BE1073" s="95">
        <f t="shared" si="635"/>
        <v>0.11250000000291038</v>
      </c>
      <c r="BF1073" s="95">
        <v>0</v>
      </c>
      <c r="BG1073" s="95">
        <v>2.0833333333333333E-3</v>
      </c>
      <c r="BH1073" s="95">
        <f t="shared" si="636"/>
        <v>3.4722222262644209E-3</v>
      </c>
      <c r="BI1073" s="95">
        <f t="shared" si="636"/>
        <v>0</v>
      </c>
      <c r="BJ1073" s="95">
        <f t="shared" si="636"/>
        <v>0.10902777777664596</v>
      </c>
      <c r="BK1073" s="95">
        <f t="shared" si="637"/>
        <v>0.10902777777664596</v>
      </c>
      <c r="BL1073" s="95">
        <f t="shared" si="638"/>
        <v>0.10694444444331262</v>
      </c>
      <c r="BM1073" s="95" t="str">
        <f t="shared" si="639"/>
        <v>00:00</v>
      </c>
      <c r="BN1073" s="110"/>
    </row>
    <row r="1074" spans="1:66" s="8" customFormat="1" ht="12.75" customHeight="1" x14ac:dyDescent="0.25">
      <c r="A1074" s="150">
        <v>990</v>
      </c>
      <c r="B1074" s="150">
        <v>9</v>
      </c>
      <c r="C1074" s="90">
        <v>14</v>
      </c>
      <c r="D1074" s="111" t="s">
        <v>148</v>
      </c>
      <c r="E1074" s="210" t="s">
        <v>1084</v>
      </c>
      <c r="F1074" s="150" t="s">
        <v>19</v>
      </c>
      <c r="G1074" s="150" t="s">
        <v>17</v>
      </c>
      <c r="H1074" s="150" t="s">
        <v>150</v>
      </c>
      <c r="I1074" s="150" t="s">
        <v>647</v>
      </c>
      <c r="J1074" s="151">
        <v>45689</v>
      </c>
      <c r="K1074" s="135" t="s">
        <v>117</v>
      </c>
      <c r="L1074" s="135">
        <v>461000726</v>
      </c>
      <c r="M1074" s="151">
        <v>45692</v>
      </c>
      <c r="N1074" s="152">
        <v>45691.989583333336</v>
      </c>
      <c r="O1074" s="152">
        <v>45691.989583333336</v>
      </c>
      <c r="P1074" s="152">
        <v>45692</v>
      </c>
      <c r="Q1074" s="152">
        <v>45692.145833333336</v>
      </c>
      <c r="R1074" s="152" t="s">
        <v>118</v>
      </c>
      <c r="S1074" s="152" t="s">
        <v>118</v>
      </c>
      <c r="T1074" s="152">
        <v>45692.3125</v>
      </c>
      <c r="U1074" s="152">
        <v>45692.447916666664</v>
      </c>
      <c r="V1074" s="219">
        <f t="shared" si="631"/>
        <v>0.15625</v>
      </c>
      <c r="W1074" s="203">
        <v>0.20833333333333334</v>
      </c>
      <c r="X1074" s="219" t="str">
        <f t="shared" si="632"/>
        <v>00:00</v>
      </c>
      <c r="Y1074" s="96">
        <v>0</v>
      </c>
      <c r="Z1074" s="96">
        <v>58</v>
      </c>
      <c r="AA1074" s="96">
        <f t="shared" si="624"/>
        <v>58</v>
      </c>
      <c r="AB1074" s="97">
        <f t="shared" si="625"/>
        <v>0</v>
      </c>
      <c r="AC1074" s="97">
        <f t="shared" si="626"/>
        <v>4059.2999999999997</v>
      </c>
      <c r="AD1074" s="98">
        <v>4059.3</v>
      </c>
      <c r="AE1074" s="98">
        <v>4037</v>
      </c>
      <c r="AF1074" s="98">
        <v>4081.4</v>
      </c>
      <c r="AG1074" s="98">
        <f t="shared" si="627"/>
        <v>22.099999999999909</v>
      </c>
      <c r="AH1074" s="99">
        <v>672.5</v>
      </c>
      <c r="AI1074" s="100">
        <f t="shared" si="628"/>
        <v>2744741.5</v>
      </c>
      <c r="AJ1074" s="100">
        <f t="shared" si="640"/>
        <v>0</v>
      </c>
      <c r="AK1074" s="100">
        <v>0</v>
      </c>
      <c r="AL1074" s="100">
        <v>24140</v>
      </c>
      <c r="AM1074" s="100">
        <v>0</v>
      </c>
      <c r="AN1074" s="100">
        <v>0</v>
      </c>
      <c r="AO1074" s="100">
        <v>0</v>
      </c>
      <c r="AP1074" s="100">
        <f t="shared" si="613"/>
        <v>138445</v>
      </c>
      <c r="AQ1074" s="101">
        <f t="shared" si="623"/>
        <v>2907327</v>
      </c>
      <c r="AR1074" s="101">
        <v>0</v>
      </c>
      <c r="AS1074" s="101">
        <v>0</v>
      </c>
      <c r="AT1074" s="102" t="s">
        <v>33</v>
      </c>
      <c r="AU1074" s="109">
        <v>37</v>
      </c>
      <c r="AV1074" s="100">
        <f>70.56-35.56</f>
        <v>35</v>
      </c>
      <c r="AW1074" s="105">
        <v>0</v>
      </c>
      <c r="AX1074" s="216">
        <f t="shared" si="633"/>
        <v>0.54148086440926912</v>
      </c>
      <c r="AY1074" s="217">
        <f t="shared" si="634"/>
        <v>14863</v>
      </c>
      <c r="AZ1074" s="107"/>
      <c r="BA1074" s="94">
        <v>45691.989583333336</v>
      </c>
      <c r="BB1074" s="94">
        <v>45692</v>
      </c>
      <c r="BC1074" s="94">
        <v>45692</v>
      </c>
      <c r="BD1074" s="94">
        <v>45692.131249999999</v>
      </c>
      <c r="BE1074" s="95">
        <f t="shared" si="635"/>
        <v>0.14166666666278616</v>
      </c>
      <c r="BF1074" s="95">
        <v>0</v>
      </c>
      <c r="BG1074" s="95">
        <v>2.7777777777777779E-3</v>
      </c>
      <c r="BH1074" s="95">
        <f t="shared" si="636"/>
        <v>1.0416666664241347E-2</v>
      </c>
      <c r="BI1074" s="95">
        <f t="shared" si="636"/>
        <v>0</v>
      </c>
      <c r="BJ1074" s="95">
        <f t="shared" si="636"/>
        <v>0.13124999999854481</v>
      </c>
      <c r="BK1074" s="95">
        <f t="shared" si="637"/>
        <v>0.13124999999854481</v>
      </c>
      <c r="BL1074" s="95">
        <f t="shared" si="638"/>
        <v>0.12847222222076704</v>
      </c>
      <c r="BM1074" s="95" t="str">
        <f t="shared" si="639"/>
        <v>00:00</v>
      </c>
      <c r="BN1074" s="110"/>
    </row>
    <row r="1075" spans="1:66" s="8" customFormat="1" ht="12.75" customHeight="1" x14ac:dyDescent="0.25">
      <c r="A1075" s="150">
        <v>991</v>
      </c>
      <c r="B1075" s="150">
        <v>10</v>
      </c>
      <c r="C1075" s="90">
        <v>15</v>
      </c>
      <c r="D1075" s="111" t="s">
        <v>148</v>
      </c>
      <c r="E1075" s="210" t="s">
        <v>1084</v>
      </c>
      <c r="F1075" s="150" t="s">
        <v>19</v>
      </c>
      <c r="G1075" s="150" t="s">
        <v>17</v>
      </c>
      <c r="H1075" s="150" t="s">
        <v>150</v>
      </c>
      <c r="I1075" s="150" t="s">
        <v>648</v>
      </c>
      <c r="J1075" s="151">
        <v>45690</v>
      </c>
      <c r="K1075" s="135" t="s">
        <v>122</v>
      </c>
      <c r="L1075" s="135">
        <v>461000727</v>
      </c>
      <c r="M1075" s="151">
        <v>45692</v>
      </c>
      <c r="N1075" s="152">
        <v>45692.3125</v>
      </c>
      <c r="O1075" s="152">
        <v>45692.3125</v>
      </c>
      <c r="P1075" s="152">
        <v>45692.322916666664</v>
      </c>
      <c r="Q1075" s="152">
        <v>45692.479166666664</v>
      </c>
      <c r="R1075" s="152" t="s">
        <v>118</v>
      </c>
      <c r="S1075" s="152" t="s">
        <v>118</v>
      </c>
      <c r="T1075" s="152">
        <v>45692.604166666664</v>
      </c>
      <c r="U1075" s="152">
        <v>45692.709027777775</v>
      </c>
      <c r="V1075" s="219">
        <f t="shared" si="631"/>
        <v>0.16666666666424135</v>
      </c>
      <c r="W1075" s="203">
        <v>0.20833333333333334</v>
      </c>
      <c r="X1075" s="219" t="str">
        <f t="shared" si="632"/>
        <v>00:00</v>
      </c>
      <c r="Y1075" s="96">
        <v>0</v>
      </c>
      <c r="Z1075" s="96">
        <v>58</v>
      </c>
      <c r="AA1075" s="96">
        <f t="shared" si="624"/>
        <v>58</v>
      </c>
      <c r="AB1075" s="97">
        <f t="shared" si="625"/>
        <v>0</v>
      </c>
      <c r="AC1075" s="97">
        <f t="shared" si="626"/>
        <v>4021.8599999999997</v>
      </c>
      <c r="AD1075" s="98">
        <v>4021.86</v>
      </c>
      <c r="AE1075" s="98">
        <v>4034.6</v>
      </c>
      <c r="AF1075" s="98">
        <v>4049.6</v>
      </c>
      <c r="AG1075" s="98">
        <f t="shared" si="627"/>
        <v>27.739999999999782</v>
      </c>
      <c r="AH1075" s="99">
        <v>672.5</v>
      </c>
      <c r="AI1075" s="100">
        <f t="shared" si="628"/>
        <v>2723356</v>
      </c>
      <c r="AJ1075" s="100">
        <f>(2.4*AH1075)*2</f>
        <v>3228</v>
      </c>
      <c r="AK1075" s="100">
        <v>0</v>
      </c>
      <c r="AL1075" s="100">
        <v>23990</v>
      </c>
      <c r="AM1075" s="100">
        <v>15241</v>
      </c>
      <c r="AN1075" s="100">
        <v>0</v>
      </c>
      <c r="AO1075" s="100">
        <v>0</v>
      </c>
      <c r="AP1075" s="100">
        <f t="shared" si="613"/>
        <v>138291</v>
      </c>
      <c r="AQ1075" s="101">
        <f t="shared" si="623"/>
        <v>2904106</v>
      </c>
      <c r="AR1075" s="101">
        <v>0</v>
      </c>
      <c r="AS1075" s="101">
        <v>0</v>
      </c>
      <c r="AT1075" s="102" t="s">
        <v>33</v>
      </c>
      <c r="AU1075" s="109" t="s">
        <v>118</v>
      </c>
      <c r="AV1075" s="100">
        <v>0</v>
      </c>
      <c r="AW1075" s="105">
        <v>0</v>
      </c>
      <c r="AX1075" s="216">
        <f t="shared" si="633"/>
        <v>0.68500592651125503</v>
      </c>
      <c r="AY1075" s="217">
        <f t="shared" si="634"/>
        <v>18656</v>
      </c>
      <c r="AZ1075" s="107"/>
      <c r="BA1075" s="94">
        <v>45692.3125</v>
      </c>
      <c r="BB1075" s="94">
        <v>45692.322916666664</v>
      </c>
      <c r="BC1075" s="94">
        <v>45692.322916666664</v>
      </c>
      <c r="BD1075" s="94">
        <v>45692.44027777778</v>
      </c>
      <c r="BE1075" s="95">
        <f t="shared" si="635"/>
        <v>0.12777777777955635</v>
      </c>
      <c r="BF1075" s="95">
        <v>0</v>
      </c>
      <c r="BG1075" s="95">
        <v>0</v>
      </c>
      <c r="BH1075" s="95">
        <f t="shared" si="636"/>
        <v>1.0416666664241347E-2</v>
      </c>
      <c r="BI1075" s="95">
        <f t="shared" si="636"/>
        <v>0</v>
      </c>
      <c r="BJ1075" s="95">
        <f t="shared" si="636"/>
        <v>0.117361111115315</v>
      </c>
      <c r="BK1075" s="95">
        <f t="shared" si="637"/>
        <v>0.117361111115315</v>
      </c>
      <c r="BL1075" s="95">
        <f t="shared" si="638"/>
        <v>0.117361111115315</v>
      </c>
      <c r="BM1075" s="95" t="str">
        <f t="shared" si="639"/>
        <v>00:00</v>
      </c>
      <c r="BN1075" s="110"/>
    </row>
    <row r="1076" spans="1:66" s="8" customFormat="1" ht="12.75" customHeight="1" x14ac:dyDescent="0.25">
      <c r="A1076" s="150">
        <v>992</v>
      </c>
      <c r="B1076" s="150">
        <v>11</v>
      </c>
      <c r="C1076" s="90">
        <v>16</v>
      </c>
      <c r="D1076" s="111" t="s">
        <v>148</v>
      </c>
      <c r="E1076" s="210" t="s">
        <v>1084</v>
      </c>
      <c r="F1076" s="150" t="s">
        <v>19</v>
      </c>
      <c r="G1076" s="150" t="s">
        <v>17</v>
      </c>
      <c r="H1076" s="150" t="s">
        <v>150</v>
      </c>
      <c r="I1076" s="150" t="s">
        <v>649</v>
      </c>
      <c r="J1076" s="151">
        <v>45690</v>
      </c>
      <c r="K1076" s="135" t="s">
        <v>117</v>
      </c>
      <c r="L1076" s="135">
        <v>461000728</v>
      </c>
      <c r="M1076" s="151">
        <v>45693</v>
      </c>
      <c r="N1076" s="152">
        <v>45692.625</v>
      </c>
      <c r="O1076" s="152">
        <v>45692.625</v>
      </c>
      <c r="P1076" s="152">
        <v>45692.631944444445</v>
      </c>
      <c r="Q1076" s="152">
        <v>45692.78125</v>
      </c>
      <c r="R1076" s="152" t="s">
        <v>118</v>
      </c>
      <c r="S1076" s="152" t="s">
        <v>118</v>
      </c>
      <c r="T1076" s="152">
        <v>45692.84375</v>
      </c>
      <c r="U1076" s="152">
        <v>45693.060416666667</v>
      </c>
      <c r="V1076" s="219">
        <f t="shared" si="631"/>
        <v>0.15625</v>
      </c>
      <c r="W1076" s="203">
        <v>0.20833333333333334</v>
      </c>
      <c r="X1076" s="219" t="str">
        <f t="shared" si="632"/>
        <v>00:00</v>
      </c>
      <c r="Y1076" s="96">
        <v>5</v>
      </c>
      <c r="Z1076" s="96">
        <v>53</v>
      </c>
      <c r="AA1076" s="96">
        <f t="shared" si="624"/>
        <v>58</v>
      </c>
      <c r="AB1076" s="97">
        <f t="shared" si="625"/>
        <v>350.17758620689654</v>
      </c>
      <c r="AC1076" s="97">
        <f t="shared" si="626"/>
        <v>3711.8824137931033</v>
      </c>
      <c r="AD1076" s="98">
        <v>4062.06</v>
      </c>
      <c r="AE1076" s="98">
        <v>4043.4</v>
      </c>
      <c r="AF1076" s="98">
        <v>4076.4</v>
      </c>
      <c r="AG1076" s="98">
        <f t="shared" si="627"/>
        <v>14.340000000000146</v>
      </c>
      <c r="AH1076" s="99">
        <v>672.5</v>
      </c>
      <c r="AI1076" s="100">
        <f t="shared" si="628"/>
        <v>2741379</v>
      </c>
      <c r="AJ1076" s="100">
        <f>(0*AH1076)*2</f>
        <v>0</v>
      </c>
      <c r="AK1076" s="100">
        <v>0</v>
      </c>
      <c r="AL1076" s="100">
        <v>24140</v>
      </c>
      <c r="AM1076" s="100">
        <v>0</v>
      </c>
      <c r="AN1076" s="100">
        <v>0</v>
      </c>
      <c r="AO1076" s="100">
        <v>0</v>
      </c>
      <c r="AP1076" s="100">
        <f t="shared" si="613"/>
        <v>138276</v>
      </c>
      <c r="AQ1076" s="101">
        <f t="shared" si="623"/>
        <v>2903795</v>
      </c>
      <c r="AR1076" s="101">
        <v>0</v>
      </c>
      <c r="AS1076" s="101">
        <v>0</v>
      </c>
      <c r="AT1076" s="102" t="s">
        <v>33</v>
      </c>
      <c r="AU1076" s="109">
        <v>19</v>
      </c>
      <c r="AV1076" s="100">
        <f>42.2-28.7</f>
        <v>13.500000000000004</v>
      </c>
      <c r="AW1076" s="105">
        <v>0</v>
      </c>
      <c r="AX1076" s="216">
        <f t="shared" si="633"/>
        <v>0.35178098322049223</v>
      </c>
      <c r="AY1076" s="217">
        <f t="shared" si="634"/>
        <v>9644</v>
      </c>
      <c r="AZ1076" s="107"/>
      <c r="BA1076" s="94">
        <v>45692.625</v>
      </c>
      <c r="BB1076" s="94">
        <v>45692.631944444445</v>
      </c>
      <c r="BC1076" s="94">
        <v>45692.631944444445</v>
      </c>
      <c r="BD1076" s="94">
        <v>45692.759722222225</v>
      </c>
      <c r="BE1076" s="95">
        <f t="shared" si="635"/>
        <v>0.13472222222480923</v>
      </c>
      <c r="BF1076" s="95">
        <v>0</v>
      </c>
      <c r="BG1076" s="95">
        <v>0</v>
      </c>
      <c r="BH1076" s="95">
        <f t="shared" si="636"/>
        <v>6.9444444452528842E-3</v>
      </c>
      <c r="BI1076" s="95">
        <f t="shared" si="636"/>
        <v>0</v>
      </c>
      <c r="BJ1076" s="95">
        <f t="shared" si="636"/>
        <v>0.12777777777955635</v>
      </c>
      <c r="BK1076" s="95">
        <f t="shared" si="637"/>
        <v>0.12777777777955635</v>
      </c>
      <c r="BL1076" s="95">
        <f t="shared" si="638"/>
        <v>0.12777777777955635</v>
      </c>
      <c r="BM1076" s="95" t="str">
        <f t="shared" si="639"/>
        <v>00:00</v>
      </c>
      <c r="BN1076" s="110"/>
    </row>
    <row r="1077" spans="1:66" s="8" customFormat="1" ht="12.75" customHeight="1" x14ac:dyDescent="0.25">
      <c r="A1077" s="150">
        <v>993</v>
      </c>
      <c r="B1077" s="150">
        <v>12</v>
      </c>
      <c r="C1077" s="90">
        <v>17</v>
      </c>
      <c r="D1077" s="111" t="s">
        <v>148</v>
      </c>
      <c r="E1077" s="210" t="s">
        <v>1084</v>
      </c>
      <c r="F1077" s="150" t="s">
        <v>19</v>
      </c>
      <c r="G1077" s="150" t="s">
        <v>17</v>
      </c>
      <c r="H1077" s="150" t="s">
        <v>150</v>
      </c>
      <c r="I1077" s="150" t="s">
        <v>650</v>
      </c>
      <c r="J1077" s="151">
        <v>45690</v>
      </c>
      <c r="K1077" s="135" t="s">
        <v>122</v>
      </c>
      <c r="L1077" s="135">
        <v>461000729</v>
      </c>
      <c r="M1077" s="151">
        <v>45693</v>
      </c>
      <c r="N1077" s="152">
        <v>45692.760416666664</v>
      </c>
      <c r="O1077" s="152">
        <v>45692.760416666664</v>
      </c>
      <c r="P1077" s="152">
        <v>45692.770833333336</v>
      </c>
      <c r="Q1077" s="152">
        <v>45692.96875</v>
      </c>
      <c r="R1077" s="152" t="s">
        <v>118</v>
      </c>
      <c r="S1077" s="152" t="s">
        <v>118</v>
      </c>
      <c r="T1077" s="152">
        <v>45693.101388888892</v>
      </c>
      <c r="U1077" s="152">
        <v>45693.138888888891</v>
      </c>
      <c r="V1077" s="219">
        <f t="shared" si="631"/>
        <v>0.20833333333575865</v>
      </c>
      <c r="W1077" s="203">
        <v>0.20833333333333334</v>
      </c>
      <c r="X1077" s="219">
        <f t="shared" si="632"/>
        <v>2.4253099528692701E-12</v>
      </c>
      <c r="Y1077" s="96">
        <v>0</v>
      </c>
      <c r="Z1077" s="96">
        <v>59</v>
      </c>
      <c r="AA1077" s="96">
        <f t="shared" si="624"/>
        <v>59</v>
      </c>
      <c r="AB1077" s="97">
        <f t="shared" si="625"/>
        <v>0</v>
      </c>
      <c r="AC1077" s="97">
        <f t="shared" si="626"/>
        <v>4094.59</v>
      </c>
      <c r="AD1077" s="98">
        <v>4094.59</v>
      </c>
      <c r="AE1077" s="98">
        <v>4106</v>
      </c>
      <c r="AF1077" s="98">
        <v>4136</v>
      </c>
      <c r="AG1077" s="98">
        <f t="shared" si="627"/>
        <v>41.409999999999854</v>
      </c>
      <c r="AH1077" s="99">
        <v>672.5</v>
      </c>
      <c r="AI1077" s="100">
        <f t="shared" si="628"/>
        <v>2781460</v>
      </c>
      <c r="AJ1077" s="100">
        <f>(0*AH1077)*2</f>
        <v>0</v>
      </c>
      <c r="AK1077" s="100">
        <v>0</v>
      </c>
      <c r="AL1077" s="100">
        <v>24290</v>
      </c>
      <c r="AM1077" s="100">
        <v>0</v>
      </c>
      <c r="AN1077" s="100">
        <v>0</v>
      </c>
      <c r="AO1077" s="100">
        <v>0</v>
      </c>
      <c r="AP1077" s="100">
        <f t="shared" si="613"/>
        <v>140288</v>
      </c>
      <c r="AQ1077" s="101">
        <f t="shared" ref="AQ1077:AQ1103" si="641">ROUNDUP(SUM(AI1077:AP1077),0)</f>
        <v>2946038</v>
      </c>
      <c r="AR1077" s="101">
        <v>0</v>
      </c>
      <c r="AS1077" s="101">
        <v>0</v>
      </c>
      <c r="AT1077" s="102" t="s">
        <v>33</v>
      </c>
      <c r="AU1077" s="109">
        <v>20</v>
      </c>
      <c r="AV1077" s="100">
        <f>46.26-25.76</f>
        <v>20.499999999999996</v>
      </c>
      <c r="AW1077" s="105">
        <v>0</v>
      </c>
      <c r="AX1077" s="216">
        <f t="shared" si="633"/>
        <v>1.0012088974854898</v>
      </c>
      <c r="AY1077" s="217">
        <f t="shared" si="634"/>
        <v>27849</v>
      </c>
      <c r="AZ1077" s="107"/>
      <c r="BA1077" s="94">
        <v>45692.760416666664</v>
      </c>
      <c r="BB1077" s="94">
        <v>45692.770833333336</v>
      </c>
      <c r="BC1077" s="94">
        <v>45692.770833333336</v>
      </c>
      <c r="BD1077" s="94">
        <v>45692.917361111111</v>
      </c>
      <c r="BE1077" s="95">
        <f t="shared" si="635"/>
        <v>0.15694444444670808</v>
      </c>
      <c r="BF1077" s="95">
        <v>0</v>
      </c>
      <c r="BG1077" s="95">
        <v>4.1666666666666666E-3</v>
      </c>
      <c r="BH1077" s="95">
        <f t="shared" si="636"/>
        <v>1.0416666671517305E-2</v>
      </c>
      <c r="BI1077" s="95">
        <f t="shared" si="636"/>
        <v>0</v>
      </c>
      <c r="BJ1077" s="95">
        <f t="shared" si="636"/>
        <v>0.14652777777519077</v>
      </c>
      <c r="BK1077" s="95">
        <f t="shared" si="637"/>
        <v>0.14652777777519077</v>
      </c>
      <c r="BL1077" s="95">
        <f t="shared" si="638"/>
        <v>0.14236111110852409</v>
      </c>
      <c r="BM1077" s="95" t="str">
        <f t="shared" si="639"/>
        <v>00:00</v>
      </c>
      <c r="BN1077" s="110"/>
    </row>
    <row r="1078" spans="1:66" s="8" customFormat="1" ht="12.75" customHeight="1" x14ac:dyDescent="0.25">
      <c r="A1078" s="115">
        <v>994</v>
      </c>
      <c r="B1078" s="115">
        <v>13</v>
      </c>
      <c r="C1078" s="90">
        <v>16</v>
      </c>
      <c r="D1078" s="115" t="s">
        <v>148</v>
      </c>
      <c r="E1078" s="210" t="s">
        <v>1077</v>
      </c>
      <c r="F1078" s="115" t="s">
        <v>16</v>
      </c>
      <c r="G1078" s="115" t="s">
        <v>17</v>
      </c>
      <c r="H1078" s="115" t="s">
        <v>150</v>
      </c>
      <c r="I1078" s="115" t="s">
        <v>652</v>
      </c>
      <c r="J1078" s="117">
        <v>45692</v>
      </c>
      <c r="K1078" s="116" t="s">
        <v>122</v>
      </c>
      <c r="L1078" s="116">
        <v>461000730</v>
      </c>
      <c r="M1078" s="117">
        <v>45693</v>
      </c>
      <c r="N1078" s="118">
        <v>45693.5</v>
      </c>
      <c r="O1078" s="118">
        <v>45693.5</v>
      </c>
      <c r="P1078" s="118">
        <v>45693.510416666664</v>
      </c>
      <c r="Q1078" s="118">
        <v>45693.677083333336</v>
      </c>
      <c r="R1078" s="118" t="s">
        <v>118</v>
      </c>
      <c r="S1078" s="118" t="s">
        <v>118</v>
      </c>
      <c r="T1078" s="118">
        <v>45693.715277777781</v>
      </c>
      <c r="U1078" s="118">
        <v>45693.777083333334</v>
      </c>
      <c r="V1078" s="119">
        <f t="shared" si="631"/>
        <v>0.17708333333575865</v>
      </c>
      <c r="W1078" s="185">
        <v>0.20833333333333334</v>
      </c>
      <c r="X1078" s="119" t="str">
        <f t="shared" si="632"/>
        <v>00:00</v>
      </c>
      <c r="Y1078" s="96">
        <v>0</v>
      </c>
      <c r="Z1078" s="96">
        <v>6</v>
      </c>
      <c r="AA1078" s="96">
        <f t="shared" si="624"/>
        <v>6</v>
      </c>
      <c r="AB1078" s="97">
        <f t="shared" si="625"/>
        <v>0</v>
      </c>
      <c r="AC1078" s="97">
        <f t="shared" si="626"/>
        <v>398.97000000000025</v>
      </c>
      <c r="AD1078" s="98">
        <f>4055.13-3656.16</f>
        <v>398.97000000000025</v>
      </c>
      <c r="AE1078" s="98">
        <f>4099.1-3681.7</f>
        <v>417.40000000000055</v>
      </c>
      <c r="AF1078" s="98">
        <f>4106.8-3688.4</f>
        <v>418.40000000000009</v>
      </c>
      <c r="AG1078" s="98">
        <f t="shared" si="627"/>
        <v>19.429999999999836</v>
      </c>
      <c r="AH1078" s="99">
        <v>672.5</v>
      </c>
      <c r="AI1078" s="100">
        <f t="shared" si="628"/>
        <v>281374.00000000006</v>
      </c>
      <c r="AJ1078" s="100">
        <f>(1*AH1078)*2</f>
        <v>1345</v>
      </c>
      <c r="AK1078" s="100">
        <v>0</v>
      </c>
      <c r="AL1078" s="100">
        <v>0</v>
      </c>
      <c r="AM1078" s="100">
        <v>0</v>
      </c>
      <c r="AN1078" s="100">
        <v>0</v>
      </c>
      <c r="AO1078" s="100">
        <v>0</v>
      </c>
      <c r="AP1078" s="100">
        <f t="shared" si="613"/>
        <v>14136</v>
      </c>
      <c r="AQ1078" s="101">
        <f t="shared" si="641"/>
        <v>296855</v>
      </c>
      <c r="AR1078" s="101">
        <v>0</v>
      </c>
      <c r="AS1078" s="101">
        <v>0</v>
      </c>
      <c r="AT1078" s="137" t="s">
        <v>33</v>
      </c>
      <c r="AU1078" s="120" t="s">
        <v>118</v>
      </c>
      <c r="AV1078" s="121">
        <v>0</v>
      </c>
      <c r="AW1078" s="105">
        <v>0</v>
      </c>
      <c r="AX1078" s="140">
        <f>IFERROR(((AG1078+AG1079)/(AF1078+AF1079))*100, "")</f>
        <v>1.2581572026882262</v>
      </c>
      <c r="AY1078" s="141">
        <f>ROUNDUP((AG1078+AG1079)*AH1078,0)</f>
        <v>34749</v>
      </c>
      <c r="AZ1078" s="107"/>
      <c r="BA1078" s="118">
        <v>45693.5</v>
      </c>
      <c r="BB1078" s="118">
        <v>45693.510416666664</v>
      </c>
      <c r="BC1078" s="118">
        <v>45693.510416666664</v>
      </c>
      <c r="BD1078" s="118">
        <v>45693.637499999997</v>
      </c>
      <c r="BE1078" s="119">
        <f t="shared" si="635"/>
        <v>0.13749999999708962</v>
      </c>
      <c r="BF1078" s="119">
        <v>0</v>
      </c>
      <c r="BG1078" s="119">
        <v>0</v>
      </c>
      <c r="BH1078" s="119">
        <f t="shared" si="636"/>
        <v>1.0416666664241347E-2</v>
      </c>
      <c r="BI1078" s="119">
        <f t="shared" si="636"/>
        <v>0</v>
      </c>
      <c r="BJ1078" s="119">
        <f t="shared" si="636"/>
        <v>0.12708333333284827</v>
      </c>
      <c r="BK1078" s="119">
        <f t="shared" si="637"/>
        <v>0.12708333333284827</v>
      </c>
      <c r="BL1078" s="119">
        <f t="shared" si="638"/>
        <v>0.12708333333284827</v>
      </c>
      <c r="BM1078" s="119" t="str">
        <f t="shared" si="639"/>
        <v>00:00</v>
      </c>
      <c r="BN1078" s="110" t="s">
        <v>1086</v>
      </c>
    </row>
    <row r="1079" spans="1:66" s="8" customFormat="1" ht="12.75" customHeight="1" x14ac:dyDescent="0.25">
      <c r="A1079" s="122"/>
      <c r="B1079" s="122"/>
      <c r="C1079" s="90">
        <v>1</v>
      </c>
      <c r="D1079" s="122"/>
      <c r="E1079" s="210" t="s">
        <v>1087</v>
      </c>
      <c r="F1079" s="122"/>
      <c r="G1079" s="122"/>
      <c r="H1079" s="122"/>
      <c r="I1079" s="122"/>
      <c r="J1079" s="124"/>
      <c r="K1079" s="123"/>
      <c r="L1079" s="123"/>
      <c r="M1079" s="124"/>
      <c r="N1079" s="125"/>
      <c r="O1079" s="125"/>
      <c r="P1079" s="125"/>
      <c r="Q1079" s="125"/>
      <c r="R1079" s="125"/>
      <c r="S1079" s="125"/>
      <c r="T1079" s="125"/>
      <c r="U1079" s="125"/>
      <c r="V1079" s="126"/>
      <c r="W1079" s="189"/>
      <c r="X1079" s="126"/>
      <c r="Y1079" s="96">
        <v>0</v>
      </c>
      <c r="Z1079" s="96">
        <v>53</v>
      </c>
      <c r="AA1079" s="96">
        <f t="shared" si="624"/>
        <v>53</v>
      </c>
      <c r="AB1079" s="97">
        <f t="shared" si="625"/>
        <v>0</v>
      </c>
      <c r="AC1079" s="97">
        <f t="shared" si="626"/>
        <v>3656.1600000000003</v>
      </c>
      <c r="AD1079" s="98">
        <v>3656.16</v>
      </c>
      <c r="AE1079" s="98">
        <v>3681.7</v>
      </c>
      <c r="AF1079" s="98">
        <v>3688.4</v>
      </c>
      <c r="AG1079" s="98">
        <f t="shared" si="627"/>
        <v>32.240000000000236</v>
      </c>
      <c r="AH1079" s="99">
        <v>672.5</v>
      </c>
      <c r="AI1079" s="100">
        <f t="shared" si="628"/>
        <v>2480449</v>
      </c>
      <c r="AJ1079" s="100">
        <f>(0*AH1079)*2</f>
        <v>0</v>
      </c>
      <c r="AK1079" s="100">
        <v>0</v>
      </c>
      <c r="AL1079" s="100">
        <v>0</v>
      </c>
      <c r="AM1079" s="100">
        <v>0</v>
      </c>
      <c r="AN1079" s="100">
        <v>0</v>
      </c>
      <c r="AO1079" s="100">
        <v>0</v>
      </c>
      <c r="AP1079" s="100">
        <f t="shared" si="613"/>
        <v>124023</v>
      </c>
      <c r="AQ1079" s="101">
        <f t="shared" si="641"/>
        <v>2604472</v>
      </c>
      <c r="AR1079" s="101">
        <v>0</v>
      </c>
      <c r="AS1079" s="101">
        <v>0</v>
      </c>
      <c r="AT1079" s="138"/>
      <c r="AU1079" s="127"/>
      <c r="AV1079" s="128"/>
      <c r="AW1079" s="105">
        <v>0</v>
      </c>
      <c r="AX1079" s="144"/>
      <c r="AY1079" s="145"/>
      <c r="AZ1079" s="107"/>
      <c r="BA1079" s="125"/>
      <c r="BB1079" s="125"/>
      <c r="BC1079" s="125"/>
      <c r="BD1079" s="125"/>
      <c r="BE1079" s="126"/>
      <c r="BF1079" s="126"/>
      <c r="BG1079" s="126"/>
      <c r="BH1079" s="126"/>
      <c r="BI1079" s="126"/>
      <c r="BJ1079" s="126"/>
      <c r="BK1079" s="126"/>
      <c r="BL1079" s="126"/>
      <c r="BM1079" s="126"/>
      <c r="BN1079" s="110" t="s">
        <v>1088</v>
      </c>
    </row>
    <row r="1080" spans="1:66" s="8" customFormat="1" ht="12.75" customHeight="1" x14ac:dyDescent="0.25">
      <c r="A1080" s="150">
        <v>995</v>
      </c>
      <c r="B1080" s="150">
        <v>14</v>
      </c>
      <c r="C1080" s="90">
        <v>2</v>
      </c>
      <c r="D1080" s="111" t="s">
        <v>113</v>
      </c>
      <c r="E1080" s="210" t="s">
        <v>1066</v>
      </c>
      <c r="F1080" s="150" t="s">
        <v>27</v>
      </c>
      <c r="G1080" s="150" t="s">
        <v>12</v>
      </c>
      <c r="H1080" s="150" t="s">
        <v>115</v>
      </c>
      <c r="I1080" s="150" t="s">
        <v>1089</v>
      </c>
      <c r="J1080" s="151">
        <v>45693</v>
      </c>
      <c r="K1080" s="135" t="s">
        <v>117</v>
      </c>
      <c r="L1080" s="135">
        <v>282001119</v>
      </c>
      <c r="M1080" s="151">
        <v>45694</v>
      </c>
      <c r="N1080" s="152">
        <v>45693.670138888891</v>
      </c>
      <c r="O1080" s="152">
        <v>45693.670138888891</v>
      </c>
      <c r="P1080" s="152">
        <v>45693.677083333336</v>
      </c>
      <c r="Q1080" s="152">
        <v>45693.854166666664</v>
      </c>
      <c r="R1080" s="152" t="s">
        <v>118</v>
      </c>
      <c r="S1080" s="152" t="s">
        <v>118</v>
      </c>
      <c r="T1080" s="152">
        <v>45693.864583333336</v>
      </c>
      <c r="U1080" s="152">
        <v>45693.982638888891</v>
      </c>
      <c r="V1080" s="219">
        <f>+Q1080-O1080</f>
        <v>0.18402777777373558</v>
      </c>
      <c r="W1080" s="203">
        <v>0.20833333333333334</v>
      </c>
      <c r="X1080" s="219" t="str">
        <f>IF(VALUE(V1080)&lt;=VALUE("05:00"),"00:00",VALUE(V1080)-VALUE("05:00"))</f>
        <v>00:00</v>
      </c>
      <c r="Y1080" s="96">
        <v>0</v>
      </c>
      <c r="Z1080" s="96">
        <v>59</v>
      </c>
      <c r="AA1080" s="96">
        <f t="shared" si="624"/>
        <v>59</v>
      </c>
      <c r="AB1080" s="97">
        <f t="shared" si="625"/>
        <v>0</v>
      </c>
      <c r="AC1080" s="97">
        <f t="shared" si="626"/>
        <v>4023.16</v>
      </c>
      <c r="AD1080" s="98">
        <v>4023.16</v>
      </c>
      <c r="AE1080" s="98">
        <v>4112.2</v>
      </c>
      <c r="AF1080" s="98">
        <v>4118.8</v>
      </c>
      <c r="AG1080" s="98">
        <f t="shared" si="627"/>
        <v>95.640000000000327</v>
      </c>
      <c r="AH1080" s="99">
        <v>1586.7</v>
      </c>
      <c r="AI1080" s="100">
        <f t="shared" si="628"/>
        <v>6535299.9600000009</v>
      </c>
      <c r="AJ1080" s="100">
        <f>(0.4*AH1080)*2</f>
        <v>1269.3600000000001</v>
      </c>
      <c r="AK1080" s="100">
        <v>0</v>
      </c>
      <c r="AL1080" s="100">
        <v>0</v>
      </c>
      <c r="AM1080" s="100">
        <v>0</v>
      </c>
      <c r="AN1080" s="100">
        <v>0</v>
      </c>
      <c r="AO1080" s="100">
        <f>IFERROR(AF1080*20+(((AJ1080/AH1080)/2)*20),0)</f>
        <v>82384</v>
      </c>
      <c r="AP1080" s="100">
        <f t="shared" si="613"/>
        <v>330948</v>
      </c>
      <c r="AQ1080" s="101">
        <f t="shared" si="641"/>
        <v>6949902</v>
      </c>
      <c r="AR1080" s="101">
        <v>0</v>
      </c>
      <c r="AS1080" s="101">
        <v>0</v>
      </c>
      <c r="AT1080" s="102" t="s">
        <v>33</v>
      </c>
      <c r="AU1080" s="109" t="s">
        <v>118</v>
      </c>
      <c r="AV1080" s="100">
        <v>0</v>
      </c>
      <c r="AW1080" s="105">
        <v>0</v>
      </c>
      <c r="AX1080" s="216">
        <f>IFERROR((AG1080/AF1080)*100, "")</f>
        <v>2.3220355443333087</v>
      </c>
      <c r="AY1080" s="217">
        <f>ROUNDUP(AG1080*AH1080,0)</f>
        <v>151752</v>
      </c>
      <c r="AZ1080" s="107"/>
      <c r="BA1080" s="94">
        <v>45693.670138888891</v>
      </c>
      <c r="BB1080" s="94">
        <v>45693.677083333336</v>
      </c>
      <c r="BC1080" s="94">
        <v>45693.677083333336</v>
      </c>
      <c r="BD1080" s="94">
        <v>45693.807638888888</v>
      </c>
      <c r="BE1080" s="95">
        <f>+BD1080-BA1080</f>
        <v>0.13749999999708962</v>
      </c>
      <c r="BF1080" s="95">
        <v>0</v>
      </c>
      <c r="BG1080" s="95">
        <v>0</v>
      </c>
      <c r="BH1080" s="95">
        <f t="shared" ref="BH1080:BJ1084" si="642">+BB1080-BA1080</f>
        <v>6.9444444452528842E-3</v>
      </c>
      <c r="BI1080" s="95">
        <f t="shared" si="642"/>
        <v>0</v>
      </c>
      <c r="BJ1080" s="95">
        <f t="shared" si="642"/>
        <v>0.13055555555183673</v>
      </c>
      <c r="BK1080" s="95">
        <f>+BI1080+BJ1080</f>
        <v>0.13055555555183673</v>
      </c>
      <c r="BL1080" s="95">
        <f>+BE1080-BH1080-BF1080-BG1080</f>
        <v>0.13055555555183673</v>
      </c>
      <c r="BM1080" s="95" t="str">
        <f>IF(VALUE(BE1080)&lt;=VALUE("05:00"),"00:00",VALUE(BE1080)-VALUE("05:00"))</f>
        <v>00:00</v>
      </c>
      <c r="BN1080" s="110"/>
    </row>
    <row r="1081" spans="1:66" s="8" customFormat="1" ht="12.75" customHeight="1" x14ac:dyDescent="0.25">
      <c r="A1081" s="150">
        <v>996</v>
      </c>
      <c r="B1081" s="150">
        <v>15</v>
      </c>
      <c r="C1081" s="90">
        <v>2</v>
      </c>
      <c r="D1081" s="111" t="s">
        <v>148</v>
      </c>
      <c r="E1081" s="210" t="s">
        <v>1087</v>
      </c>
      <c r="F1081" s="150" t="s">
        <v>16</v>
      </c>
      <c r="G1081" s="150" t="s">
        <v>17</v>
      </c>
      <c r="H1081" s="150" t="s">
        <v>150</v>
      </c>
      <c r="I1081" s="150" t="s">
        <v>653</v>
      </c>
      <c r="J1081" s="151">
        <v>45692</v>
      </c>
      <c r="K1081" s="135" t="s">
        <v>122</v>
      </c>
      <c r="L1081" s="135">
        <v>461000731</v>
      </c>
      <c r="M1081" s="151">
        <v>45694</v>
      </c>
      <c r="N1081" s="152">
        <v>45693.8125</v>
      </c>
      <c r="O1081" s="152">
        <v>45693.8125</v>
      </c>
      <c r="P1081" s="152">
        <v>45693.815972222219</v>
      </c>
      <c r="Q1081" s="152">
        <v>45693.979166666664</v>
      </c>
      <c r="R1081" s="152" t="s">
        <v>118</v>
      </c>
      <c r="S1081" s="152" t="s">
        <v>118</v>
      </c>
      <c r="T1081" s="152">
        <v>45694.020833333336</v>
      </c>
      <c r="U1081" s="152">
        <v>45694.131249999999</v>
      </c>
      <c r="V1081" s="219">
        <f>+Q1081-O1081</f>
        <v>0.16666666666424135</v>
      </c>
      <c r="W1081" s="203">
        <v>0.20833333333333334</v>
      </c>
      <c r="X1081" s="219" t="str">
        <f>IF(VALUE(V1081)&lt;=VALUE("05:00"),"00:00",VALUE(V1081)-VALUE("05:00"))</f>
        <v>00:00</v>
      </c>
      <c r="Y1081" s="96">
        <v>0</v>
      </c>
      <c r="Z1081" s="96">
        <v>58</v>
      </c>
      <c r="AA1081" s="96">
        <f t="shared" si="624"/>
        <v>58</v>
      </c>
      <c r="AB1081" s="97">
        <f t="shared" si="625"/>
        <v>0</v>
      </c>
      <c r="AC1081" s="97">
        <f t="shared" si="626"/>
        <v>3933.28</v>
      </c>
      <c r="AD1081" s="98">
        <v>3933.28</v>
      </c>
      <c r="AE1081" s="98">
        <v>4050.8</v>
      </c>
      <c r="AF1081" s="98">
        <v>4050.8</v>
      </c>
      <c r="AG1081" s="98">
        <f t="shared" si="627"/>
        <v>117.51999999999998</v>
      </c>
      <c r="AH1081" s="99">
        <v>672.5</v>
      </c>
      <c r="AI1081" s="100">
        <f t="shared" si="628"/>
        <v>2724163</v>
      </c>
      <c r="AJ1081" s="100">
        <f>(0*AH1081)*2</f>
        <v>0</v>
      </c>
      <c r="AK1081" s="100">
        <v>0</v>
      </c>
      <c r="AL1081" s="100">
        <v>0</v>
      </c>
      <c r="AM1081" s="100">
        <v>0</v>
      </c>
      <c r="AN1081" s="100">
        <v>0</v>
      </c>
      <c r="AO1081" s="100">
        <v>0</v>
      </c>
      <c r="AP1081" s="100">
        <f t="shared" si="613"/>
        <v>136209</v>
      </c>
      <c r="AQ1081" s="101">
        <f t="shared" si="641"/>
        <v>2860372</v>
      </c>
      <c r="AR1081" s="101">
        <v>0</v>
      </c>
      <c r="AS1081" s="101">
        <v>0</v>
      </c>
      <c r="AT1081" s="102" t="s">
        <v>33</v>
      </c>
      <c r="AU1081" s="109" t="s">
        <v>118</v>
      </c>
      <c r="AV1081" s="100">
        <v>0</v>
      </c>
      <c r="AW1081" s="105">
        <v>0</v>
      </c>
      <c r="AX1081" s="216">
        <f>IFERROR((AG1081/AF1081)*100, "")</f>
        <v>2.9011553273427464</v>
      </c>
      <c r="AY1081" s="217">
        <f>ROUNDUP(AG1081*AH1081,0)</f>
        <v>79033</v>
      </c>
      <c r="AZ1081" s="107"/>
      <c r="BA1081" s="94">
        <v>45693.8125</v>
      </c>
      <c r="BB1081" s="94">
        <v>45693.826388888891</v>
      </c>
      <c r="BC1081" s="94">
        <v>45693.826388888891</v>
      </c>
      <c r="BD1081" s="94">
        <v>45693.947916666664</v>
      </c>
      <c r="BE1081" s="95">
        <f>+BD1081-BA1081</f>
        <v>0.13541666666424135</v>
      </c>
      <c r="BF1081" s="95">
        <v>0</v>
      </c>
      <c r="BG1081" s="95">
        <v>0</v>
      </c>
      <c r="BH1081" s="95">
        <f t="shared" si="642"/>
        <v>1.3888888890505768E-2</v>
      </c>
      <c r="BI1081" s="95">
        <f t="shared" si="642"/>
        <v>0</v>
      </c>
      <c r="BJ1081" s="95">
        <f t="shared" si="642"/>
        <v>0.12152777777373558</v>
      </c>
      <c r="BK1081" s="95">
        <f>+BI1081+BJ1081</f>
        <v>0.12152777777373558</v>
      </c>
      <c r="BL1081" s="95">
        <f>+BE1081-BH1081-BF1081-BG1081</f>
        <v>0.12152777777373558</v>
      </c>
      <c r="BM1081" s="95" t="str">
        <f>IF(VALUE(BE1081)&lt;=VALUE("05:00"),"00:00",VALUE(BE1081)-VALUE("05:00"))</f>
        <v>00:00</v>
      </c>
      <c r="BN1081" s="110"/>
    </row>
    <row r="1082" spans="1:66" s="8" customFormat="1" ht="12.75" customHeight="1" x14ac:dyDescent="0.25">
      <c r="A1082" s="150">
        <v>997</v>
      </c>
      <c r="B1082" s="150">
        <v>16</v>
      </c>
      <c r="C1082" s="90">
        <v>3</v>
      </c>
      <c r="D1082" s="111" t="s">
        <v>148</v>
      </c>
      <c r="E1082" s="210" t="s">
        <v>1087</v>
      </c>
      <c r="F1082" s="150" t="s">
        <v>16</v>
      </c>
      <c r="G1082" s="150" t="s">
        <v>17</v>
      </c>
      <c r="H1082" s="150" t="s">
        <v>150</v>
      </c>
      <c r="I1082" s="150" t="s">
        <v>657</v>
      </c>
      <c r="J1082" s="151">
        <v>45692</v>
      </c>
      <c r="K1082" s="135" t="s">
        <v>117</v>
      </c>
      <c r="L1082" s="135">
        <v>461000732</v>
      </c>
      <c r="M1082" s="151">
        <v>45694</v>
      </c>
      <c r="N1082" s="152">
        <v>45694.055555555555</v>
      </c>
      <c r="O1082" s="152">
        <v>45694.041666666664</v>
      </c>
      <c r="P1082" s="152">
        <v>45694.0625</v>
      </c>
      <c r="Q1082" s="152">
        <v>45694.229166666664</v>
      </c>
      <c r="R1082" s="152">
        <v>45694.055555555555</v>
      </c>
      <c r="S1082" s="152" t="s">
        <v>118</v>
      </c>
      <c r="T1082" s="152">
        <v>45694.291666666664</v>
      </c>
      <c r="U1082" s="152">
        <v>45694.395833333336</v>
      </c>
      <c r="V1082" s="219">
        <f>+Q1082-O1082</f>
        <v>0.1875</v>
      </c>
      <c r="W1082" s="203">
        <v>0.20833333333333334</v>
      </c>
      <c r="X1082" s="219" t="str">
        <f>IF(VALUE(V1082)&lt;=VALUE("05:00"),"00:00",VALUE(V1082)-VALUE("05:00"))</f>
        <v>00:00</v>
      </c>
      <c r="Y1082" s="96">
        <v>0</v>
      </c>
      <c r="Z1082" s="96">
        <v>58</v>
      </c>
      <c r="AA1082" s="96">
        <f t="shared" si="624"/>
        <v>58</v>
      </c>
      <c r="AB1082" s="97">
        <f t="shared" si="625"/>
        <v>0</v>
      </c>
      <c r="AC1082" s="97">
        <f t="shared" si="626"/>
        <v>4010.2600000000007</v>
      </c>
      <c r="AD1082" s="98">
        <v>4010.26</v>
      </c>
      <c r="AE1082" s="98">
        <v>4018.2</v>
      </c>
      <c r="AF1082" s="98">
        <v>4037</v>
      </c>
      <c r="AG1082" s="98">
        <f t="shared" si="627"/>
        <v>26.739999999999782</v>
      </c>
      <c r="AH1082" s="99">
        <v>672.5</v>
      </c>
      <c r="AI1082" s="100">
        <f t="shared" si="628"/>
        <v>2714882.5</v>
      </c>
      <c r="AJ1082" s="100">
        <f>(0*AH1082)*2</f>
        <v>0</v>
      </c>
      <c r="AK1082" s="100">
        <v>0</v>
      </c>
      <c r="AL1082" s="100">
        <v>24140</v>
      </c>
      <c r="AM1082" s="100">
        <v>0</v>
      </c>
      <c r="AN1082" s="100">
        <v>0</v>
      </c>
      <c r="AO1082" s="100">
        <v>0</v>
      </c>
      <c r="AP1082" s="100">
        <f t="shared" si="613"/>
        <v>136952</v>
      </c>
      <c r="AQ1082" s="101">
        <f t="shared" si="641"/>
        <v>2875975</v>
      </c>
      <c r="AR1082" s="101">
        <v>0</v>
      </c>
      <c r="AS1082" s="101">
        <v>0</v>
      </c>
      <c r="AT1082" s="102" t="s">
        <v>33</v>
      </c>
      <c r="AU1082" s="109">
        <v>9</v>
      </c>
      <c r="AV1082" s="100">
        <f>22.29-16.29</f>
        <v>6</v>
      </c>
      <c r="AW1082" s="105">
        <v>0</v>
      </c>
      <c r="AX1082" s="216">
        <f>IFERROR((AG1082/AF1082)*100, "")</f>
        <v>0.66237304929402485</v>
      </c>
      <c r="AY1082" s="217">
        <f>ROUNDUP(AG1082*AH1082,0)</f>
        <v>17983</v>
      </c>
      <c r="AZ1082" s="107"/>
      <c r="BA1082" s="94">
        <v>45694.055555555555</v>
      </c>
      <c r="BB1082" s="94">
        <v>45694.0625</v>
      </c>
      <c r="BC1082" s="94">
        <v>45694.0625</v>
      </c>
      <c r="BD1082" s="94">
        <v>45694.173611111109</v>
      </c>
      <c r="BE1082" s="95">
        <f>+BD1082-BA1082</f>
        <v>0.11805555555474712</v>
      </c>
      <c r="BF1082" s="95">
        <v>0</v>
      </c>
      <c r="BG1082" s="95">
        <v>0</v>
      </c>
      <c r="BH1082" s="95">
        <f t="shared" si="642"/>
        <v>6.9444444452528842E-3</v>
      </c>
      <c r="BI1082" s="95">
        <f t="shared" si="642"/>
        <v>0</v>
      </c>
      <c r="BJ1082" s="95">
        <f t="shared" si="642"/>
        <v>0.11111111110949423</v>
      </c>
      <c r="BK1082" s="95">
        <f>+BI1082+BJ1082</f>
        <v>0.11111111110949423</v>
      </c>
      <c r="BL1082" s="95">
        <f>+BE1082-BH1082-BF1082-BG1082</f>
        <v>0.11111111110949423</v>
      </c>
      <c r="BM1082" s="95" t="str">
        <f>IF(VALUE(BE1082)&lt;=VALUE("05:00"),"00:00",VALUE(BE1082)-VALUE("05:00"))</f>
        <v>00:00</v>
      </c>
      <c r="BN1082" s="110"/>
    </row>
    <row r="1083" spans="1:66" s="8" customFormat="1" ht="12.75" customHeight="1" x14ac:dyDescent="0.25">
      <c r="A1083" s="150">
        <v>998</v>
      </c>
      <c r="B1083" s="150">
        <v>17</v>
      </c>
      <c r="C1083" s="90">
        <v>4</v>
      </c>
      <c r="D1083" s="111" t="s">
        <v>148</v>
      </c>
      <c r="E1083" s="210" t="s">
        <v>1087</v>
      </c>
      <c r="F1083" s="150" t="s">
        <v>16</v>
      </c>
      <c r="G1083" s="150" t="s">
        <v>17</v>
      </c>
      <c r="H1083" s="150" t="s">
        <v>150</v>
      </c>
      <c r="I1083" s="150" t="s">
        <v>658</v>
      </c>
      <c r="J1083" s="151">
        <v>45693</v>
      </c>
      <c r="K1083" s="135" t="s">
        <v>122</v>
      </c>
      <c r="L1083" s="135">
        <v>461000733</v>
      </c>
      <c r="M1083" s="151">
        <v>45694</v>
      </c>
      <c r="N1083" s="152">
        <v>45694.604166666664</v>
      </c>
      <c r="O1083" s="152">
        <v>45694.604166666664</v>
      </c>
      <c r="P1083" s="152">
        <v>45694.611111111109</v>
      </c>
      <c r="Q1083" s="152">
        <v>45694.791666666664</v>
      </c>
      <c r="R1083" s="152" t="s">
        <v>118</v>
      </c>
      <c r="S1083" s="152" t="s">
        <v>118</v>
      </c>
      <c r="T1083" s="152">
        <v>45694.854166666664</v>
      </c>
      <c r="U1083" s="152">
        <v>45694.921527777777</v>
      </c>
      <c r="V1083" s="219">
        <f>+Q1083-O1083</f>
        <v>0.1875</v>
      </c>
      <c r="W1083" s="203">
        <v>0.20833333333333334</v>
      </c>
      <c r="X1083" s="219" t="str">
        <f>IF(VALUE(V1083)&lt;=VALUE("05:00"),"00:00",VALUE(V1083)-VALUE("05:00"))</f>
        <v>00:00</v>
      </c>
      <c r="Y1083" s="96">
        <v>0</v>
      </c>
      <c r="Z1083" s="96">
        <v>58</v>
      </c>
      <c r="AA1083" s="96">
        <f t="shared" si="624"/>
        <v>58</v>
      </c>
      <c r="AB1083" s="97">
        <f t="shared" si="625"/>
        <v>0</v>
      </c>
      <c r="AC1083" s="97">
        <f t="shared" si="626"/>
        <v>4020.7000000000003</v>
      </c>
      <c r="AD1083" s="98">
        <v>4020.7</v>
      </c>
      <c r="AE1083" s="98">
        <v>4037</v>
      </c>
      <c r="AF1083" s="98">
        <v>4051.6</v>
      </c>
      <c r="AG1083" s="98">
        <f t="shared" si="627"/>
        <v>30.900000000000091</v>
      </c>
      <c r="AH1083" s="99">
        <v>672.5</v>
      </c>
      <c r="AI1083" s="100">
        <f t="shared" si="628"/>
        <v>2724701</v>
      </c>
      <c r="AJ1083" s="100">
        <f>(1.8*AH1083)*2</f>
        <v>2421</v>
      </c>
      <c r="AK1083" s="100">
        <v>0</v>
      </c>
      <c r="AL1083" s="100">
        <v>0</v>
      </c>
      <c r="AM1083" s="100">
        <v>0</v>
      </c>
      <c r="AN1083" s="100">
        <v>0</v>
      </c>
      <c r="AO1083" s="100">
        <v>0</v>
      </c>
      <c r="AP1083" s="100">
        <f t="shared" si="613"/>
        <v>136357</v>
      </c>
      <c r="AQ1083" s="101">
        <f t="shared" si="641"/>
        <v>2863479</v>
      </c>
      <c r="AR1083" s="101">
        <v>0</v>
      </c>
      <c r="AS1083" s="101">
        <v>0</v>
      </c>
      <c r="AT1083" s="102" t="s">
        <v>33</v>
      </c>
      <c r="AU1083" s="109" t="s">
        <v>118</v>
      </c>
      <c r="AV1083" s="100">
        <v>0</v>
      </c>
      <c r="AW1083" s="105">
        <v>0</v>
      </c>
      <c r="AX1083" s="216">
        <f>IFERROR((AG1083/AF1083)*100, "")</f>
        <v>0.76266166452759632</v>
      </c>
      <c r="AY1083" s="217">
        <f>ROUNDUP(AG1083*AH1083,0)</f>
        <v>20781</v>
      </c>
      <c r="AZ1083" s="107"/>
      <c r="BA1083" s="94">
        <v>45694.604166666664</v>
      </c>
      <c r="BB1083" s="94">
        <v>45694.611111111109</v>
      </c>
      <c r="BC1083" s="94">
        <v>45694.614583333336</v>
      </c>
      <c r="BD1083" s="94">
        <v>45694.736111111109</v>
      </c>
      <c r="BE1083" s="95">
        <f>+BD1083-BA1083</f>
        <v>0.13194444444525288</v>
      </c>
      <c r="BF1083" s="95">
        <v>2.0833333333333333E-3</v>
      </c>
      <c r="BG1083" s="95">
        <v>3.472222222222222E-3</v>
      </c>
      <c r="BH1083" s="95">
        <f t="shared" si="642"/>
        <v>6.9444444452528842E-3</v>
      </c>
      <c r="BI1083" s="95">
        <f t="shared" si="642"/>
        <v>3.4722222262644209E-3</v>
      </c>
      <c r="BJ1083" s="95">
        <f t="shared" si="642"/>
        <v>0.12152777777373558</v>
      </c>
      <c r="BK1083" s="95">
        <f>+BI1083+BJ1083</f>
        <v>0.125</v>
      </c>
      <c r="BL1083" s="95">
        <f>+BE1083-BH1083-BF1083-BG1083</f>
        <v>0.11944444444444444</v>
      </c>
      <c r="BM1083" s="95" t="str">
        <f>IF(VALUE(BE1083)&lt;=VALUE("05:00"),"00:00",VALUE(BE1083)-VALUE("05:00"))</f>
        <v>00:00</v>
      </c>
      <c r="BN1083" s="110"/>
    </row>
    <row r="1084" spans="1:66" s="8" customFormat="1" ht="12.75" customHeight="1" x14ac:dyDescent="0.25">
      <c r="A1084" s="115">
        <v>999</v>
      </c>
      <c r="B1084" s="115">
        <v>18</v>
      </c>
      <c r="C1084" s="115">
        <v>2</v>
      </c>
      <c r="D1084" s="115" t="s">
        <v>113</v>
      </c>
      <c r="E1084" s="210" t="s">
        <v>1079</v>
      </c>
      <c r="F1084" s="115" t="s">
        <v>27</v>
      </c>
      <c r="G1084" s="115" t="s">
        <v>12</v>
      </c>
      <c r="H1084" s="115" t="s">
        <v>115</v>
      </c>
      <c r="I1084" s="115" t="s">
        <v>745</v>
      </c>
      <c r="J1084" s="117">
        <v>45694</v>
      </c>
      <c r="K1084" s="116" t="s">
        <v>117</v>
      </c>
      <c r="L1084" s="116">
        <v>282001121</v>
      </c>
      <c r="M1084" s="117">
        <v>45695</v>
      </c>
      <c r="N1084" s="118">
        <v>45694.753472222219</v>
      </c>
      <c r="O1084" s="118">
        <v>45694.753472222219</v>
      </c>
      <c r="P1084" s="118">
        <v>45694.756944444445</v>
      </c>
      <c r="Q1084" s="118">
        <v>45694.958333333336</v>
      </c>
      <c r="R1084" s="118" t="s">
        <v>118</v>
      </c>
      <c r="S1084" s="118" t="s">
        <v>118</v>
      </c>
      <c r="T1084" s="118">
        <v>45694.989583333336</v>
      </c>
      <c r="U1084" s="118">
        <v>45695.071527777778</v>
      </c>
      <c r="V1084" s="119">
        <f>+Q1084-O1084</f>
        <v>0.20486111111677019</v>
      </c>
      <c r="W1084" s="185">
        <v>0.20833333333333334</v>
      </c>
      <c r="X1084" s="119" t="str">
        <f>IF(VALUE(V1084)&lt;=VALUE("05:00"),"00:00",VALUE(V1084)-VALUE("05:00"))</f>
        <v>00:00</v>
      </c>
      <c r="Y1084" s="96">
        <v>0</v>
      </c>
      <c r="Z1084" s="96">
        <v>30</v>
      </c>
      <c r="AA1084" s="96">
        <f t="shared" si="624"/>
        <v>30</v>
      </c>
      <c r="AB1084" s="97">
        <f t="shared" si="625"/>
        <v>0</v>
      </c>
      <c r="AC1084" s="97">
        <f t="shared" si="626"/>
        <v>2051.6099999999997</v>
      </c>
      <c r="AD1084" s="98">
        <f>3983.24-1931.63</f>
        <v>2051.6099999999997</v>
      </c>
      <c r="AE1084" s="98">
        <f>4095.3-2009.6</f>
        <v>2085.7000000000003</v>
      </c>
      <c r="AF1084" s="98">
        <f>4101.2-2010.1</f>
        <v>2091.1</v>
      </c>
      <c r="AG1084" s="98">
        <f t="shared" si="627"/>
        <v>39.490000000000236</v>
      </c>
      <c r="AH1084" s="99">
        <v>1586.7</v>
      </c>
      <c r="AI1084" s="100">
        <f t="shared" si="628"/>
        <v>3317948.37</v>
      </c>
      <c r="AJ1084" s="100">
        <f>(1.2*AH1084)*2</f>
        <v>3808.08</v>
      </c>
      <c r="AK1084" s="100">
        <v>0</v>
      </c>
      <c r="AL1084" s="100">
        <v>0</v>
      </c>
      <c r="AM1084" s="100">
        <v>0</v>
      </c>
      <c r="AN1084" s="100">
        <v>0</v>
      </c>
      <c r="AO1084" s="100">
        <f>IFERROR(AF1084*20+(((AJ1084/AH1084)/2)*20),0)</f>
        <v>41846</v>
      </c>
      <c r="AP1084" s="100">
        <f>ROUNDUP(SUM(AI1084:AO1084)*5%,0)-1</f>
        <v>168180</v>
      </c>
      <c r="AQ1084" s="101">
        <f t="shared" si="641"/>
        <v>3531783</v>
      </c>
      <c r="AR1084" s="101">
        <v>0</v>
      </c>
      <c r="AS1084" s="101">
        <v>0</v>
      </c>
      <c r="AT1084" s="137" t="s">
        <v>33</v>
      </c>
      <c r="AU1084" s="120" t="s">
        <v>118</v>
      </c>
      <c r="AV1084" s="121">
        <v>0</v>
      </c>
      <c r="AW1084" s="105">
        <v>0</v>
      </c>
      <c r="AX1084" s="140">
        <f>IFERROR(((AG1084+AG1085)/(AF1084+AF1085))*100, "")</f>
        <v>2.8762313469228529</v>
      </c>
      <c r="AY1084" s="141">
        <f>ROUNDUP((AG1084+AG1085)*AH1084,0)</f>
        <v>187168</v>
      </c>
      <c r="AZ1084" s="107"/>
      <c r="BA1084" s="118">
        <v>45694.753472222219</v>
      </c>
      <c r="BB1084" s="118">
        <v>45694.756944444445</v>
      </c>
      <c r="BC1084" s="118">
        <v>45694.762499999997</v>
      </c>
      <c r="BD1084" s="118">
        <v>45694.892361111109</v>
      </c>
      <c r="BE1084" s="119">
        <f>+BD1084-BA1084</f>
        <v>0.13888888889050577</v>
      </c>
      <c r="BF1084" s="119">
        <v>0</v>
      </c>
      <c r="BG1084" s="119">
        <v>5.5555555555555558E-3</v>
      </c>
      <c r="BH1084" s="119">
        <f t="shared" si="642"/>
        <v>3.4722222262644209E-3</v>
      </c>
      <c r="BI1084" s="119">
        <f t="shared" si="642"/>
        <v>5.5555555518367328E-3</v>
      </c>
      <c r="BJ1084" s="119">
        <f t="shared" si="642"/>
        <v>0.12986111111240461</v>
      </c>
      <c r="BK1084" s="119">
        <f>+BI1084+BJ1084</f>
        <v>0.13541666666424135</v>
      </c>
      <c r="BL1084" s="119">
        <f>+BE1084-BH1084-BF1084-BG1084</f>
        <v>0.12986111110868578</v>
      </c>
      <c r="BM1084" s="119" t="str">
        <f>IF(VALUE(BE1084)&lt;=VALUE("05:00"),"00:00",VALUE(BE1084)-VALUE("05:00"))</f>
        <v>00:00</v>
      </c>
      <c r="BN1084" s="110" t="s">
        <v>1090</v>
      </c>
    </row>
    <row r="1085" spans="1:66" s="8" customFormat="1" ht="12.75" customHeight="1" x14ac:dyDescent="0.25">
      <c r="A1085" s="122"/>
      <c r="B1085" s="122"/>
      <c r="C1085" s="122"/>
      <c r="D1085" s="122"/>
      <c r="E1085" s="210" t="s">
        <v>1082</v>
      </c>
      <c r="F1085" s="122"/>
      <c r="G1085" s="122"/>
      <c r="H1085" s="122"/>
      <c r="I1085" s="122"/>
      <c r="J1085" s="124"/>
      <c r="K1085" s="123"/>
      <c r="L1085" s="123"/>
      <c r="M1085" s="124"/>
      <c r="N1085" s="125"/>
      <c r="O1085" s="125"/>
      <c r="P1085" s="125"/>
      <c r="Q1085" s="125"/>
      <c r="R1085" s="125"/>
      <c r="S1085" s="125"/>
      <c r="T1085" s="125"/>
      <c r="U1085" s="125"/>
      <c r="V1085" s="126"/>
      <c r="W1085" s="189"/>
      <c r="X1085" s="126"/>
      <c r="Y1085" s="96">
        <v>0</v>
      </c>
      <c r="Z1085" s="96">
        <v>29</v>
      </c>
      <c r="AA1085" s="96">
        <f t="shared" si="624"/>
        <v>29</v>
      </c>
      <c r="AB1085" s="97">
        <f t="shared" si="625"/>
        <v>0</v>
      </c>
      <c r="AC1085" s="97">
        <f t="shared" si="626"/>
        <v>1931.63</v>
      </c>
      <c r="AD1085" s="98">
        <v>1931.63</v>
      </c>
      <c r="AE1085" s="98">
        <v>2009.6</v>
      </c>
      <c r="AF1085" s="98">
        <v>2010.1</v>
      </c>
      <c r="AG1085" s="98">
        <f t="shared" si="627"/>
        <v>78.4699999999998</v>
      </c>
      <c r="AH1085" s="99">
        <v>1586.7</v>
      </c>
      <c r="AI1085" s="100">
        <f t="shared" si="628"/>
        <v>3189425.67</v>
      </c>
      <c r="AJ1085" s="100">
        <f>(0*AH1085)*2</f>
        <v>0</v>
      </c>
      <c r="AK1085" s="100">
        <v>0</v>
      </c>
      <c r="AL1085" s="100">
        <v>0</v>
      </c>
      <c r="AM1085" s="100">
        <v>0</v>
      </c>
      <c r="AN1085" s="100">
        <v>0</v>
      </c>
      <c r="AO1085" s="100">
        <f>IFERROR(AF1085*20+(((AJ1085/AH1085)/2)*20),0)</f>
        <v>40202</v>
      </c>
      <c r="AP1085" s="100">
        <f t="shared" ref="AP1085:AP1103" si="643">ROUNDUP(SUM(AI1085:AO1085)*5%,0)</f>
        <v>161482</v>
      </c>
      <c r="AQ1085" s="101">
        <f t="shared" si="641"/>
        <v>3391110</v>
      </c>
      <c r="AR1085" s="101">
        <v>0</v>
      </c>
      <c r="AS1085" s="101">
        <v>0</v>
      </c>
      <c r="AT1085" s="138"/>
      <c r="AU1085" s="127"/>
      <c r="AV1085" s="128"/>
      <c r="AW1085" s="105">
        <v>0</v>
      </c>
      <c r="AX1085" s="144"/>
      <c r="AY1085" s="145"/>
      <c r="AZ1085" s="107"/>
      <c r="BA1085" s="125"/>
      <c r="BB1085" s="125"/>
      <c r="BC1085" s="125"/>
      <c r="BD1085" s="125"/>
      <c r="BE1085" s="126"/>
      <c r="BF1085" s="126"/>
      <c r="BG1085" s="126"/>
      <c r="BH1085" s="126"/>
      <c r="BI1085" s="126"/>
      <c r="BJ1085" s="126"/>
      <c r="BK1085" s="126"/>
      <c r="BL1085" s="126"/>
      <c r="BM1085" s="126"/>
      <c r="BN1085" s="110" t="s">
        <v>1091</v>
      </c>
    </row>
    <row r="1086" spans="1:66" s="8" customFormat="1" ht="12.75" customHeight="1" x14ac:dyDescent="0.25">
      <c r="A1086" s="150">
        <v>1000</v>
      </c>
      <c r="B1086" s="150">
        <v>19</v>
      </c>
      <c r="C1086" s="90">
        <v>5</v>
      </c>
      <c r="D1086" s="111" t="s">
        <v>148</v>
      </c>
      <c r="E1086" s="210" t="s">
        <v>1087</v>
      </c>
      <c r="F1086" s="150" t="s">
        <v>16</v>
      </c>
      <c r="G1086" s="150" t="s">
        <v>17</v>
      </c>
      <c r="H1086" s="150" t="s">
        <v>150</v>
      </c>
      <c r="I1086" s="150" t="s">
        <v>659</v>
      </c>
      <c r="J1086" s="151">
        <v>45694</v>
      </c>
      <c r="K1086" s="135" t="s">
        <v>122</v>
      </c>
      <c r="L1086" s="135">
        <v>461000734</v>
      </c>
      <c r="M1086" s="151">
        <v>45695</v>
      </c>
      <c r="N1086" s="152">
        <v>45695.03125</v>
      </c>
      <c r="O1086" s="152">
        <v>45695.03125</v>
      </c>
      <c r="P1086" s="152">
        <v>45695.034722222219</v>
      </c>
      <c r="Q1086" s="152">
        <v>45695.208333333336</v>
      </c>
      <c r="R1086" s="152" t="s">
        <v>118</v>
      </c>
      <c r="S1086" s="152" t="s">
        <v>118</v>
      </c>
      <c r="T1086" s="152">
        <v>45695.270833333336</v>
      </c>
      <c r="U1086" s="152">
        <v>45695.361805555556</v>
      </c>
      <c r="V1086" s="219">
        <f t="shared" ref="V1086:V1104" si="644">+Q1086-O1086</f>
        <v>0.17708333333575865</v>
      </c>
      <c r="W1086" s="203">
        <v>0.20833333333333334</v>
      </c>
      <c r="X1086" s="219" t="str">
        <f t="shared" ref="X1086:X1104" si="645">IF(VALUE(V1086)&lt;=VALUE("05:00"),"00:00",VALUE(V1086)-VALUE("05:00"))</f>
        <v>00:00</v>
      </c>
      <c r="Y1086" s="96">
        <v>0</v>
      </c>
      <c r="Z1086" s="96">
        <v>58</v>
      </c>
      <c r="AA1086" s="96">
        <f t="shared" si="624"/>
        <v>58</v>
      </c>
      <c r="AB1086" s="97">
        <f t="shared" si="625"/>
        <v>0</v>
      </c>
      <c r="AC1086" s="97">
        <f t="shared" si="626"/>
        <v>3982.86</v>
      </c>
      <c r="AD1086" s="98">
        <v>3982.86</v>
      </c>
      <c r="AE1086" s="98">
        <v>4034.6</v>
      </c>
      <c r="AF1086" s="98">
        <v>4040.4</v>
      </c>
      <c r="AG1086" s="98">
        <f t="shared" si="627"/>
        <v>57.539999999999964</v>
      </c>
      <c r="AH1086" s="99">
        <v>672.5</v>
      </c>
      <c r="AI1086" s="100">
        <f t="shared" si="628"/>
        <v>2717169</v>
      </c>
      <c r="AJ1086" s="100">
        <f>(0.4*AH1086)*2</f>
        <v>538</v>
      </c>
      <c r="AK1086" s="100">
        <v>0</v>
      </c>
      <c r="AL1086" s="100">
        <v>0</v>
      </c>
      <c r="AM1086" s="100">
        <v>0</v>
      </c>
      <c r="AN1086" s="100">
        <v>0</v>
      </c>
      <c r="AO1086" s="100">
        <v>0</v>
      </c>
      <c r="AP1086" s="100">
        <f t="shared" si="643"/>
        <v>135886</v>
      </c>
      <c r="AQ1086" s="101">
        <f t="shared" si="641"/>
        <v>2853593</v>
      </c>
      <c r="AR1086" s="101">
        <v>0</v>
      </c>
      <c r="AS1086" s="101">
        <v>0</v>
      </c>
      <c r="AT1086" s="102" t="s">
        <v>33</v>
      </c>
      <c r="AU1086" s="109" t="s">
        <v>118</v>
      </c>
      <c r="AV1086" s="100">
        <v>0</v>
      </c>
      <c r="AW1086" s="105">
        <v>0</v>
      </c>
      <c r="AX1086" s="216">
        <f t="shared" ref="AX1086:AX1103" si="646">IFERROR((AG1086/AF1086)*100, "")</f>
        <v>1.4241164241164233</v>
      </c>
      <c r="AY1086" s="217">
        <f t="shared" ref="AY1086:AY1103" si="647">ROUNDUP(AG1086*AH1086,0)</f>
        <v>38696</v>
      </c>
      <c r="AZ1086" s="107"/>
      <c r="BA1086" s="94">
        <v>45695.03125</v>
      </c>
      <c r="BB1086" s="94">
        <v>45695.034722222219</v>
      </c>
      <c r="BC1086" s="94">
        <v>45695.034722222219</v>
      </c>
      <c r="BD1086" s="94">
        <v>45695.140972222223</v>
      </c>
      <c r="BE1086" s="95">
        <f t="shared" ref="BE1086:BE1104" si="648">+BD1086-BA1086</f>
        <v>0.10972222222335404</v>
      </c>
      <c r="BF1086" s="95">
        <v>0</v>
      </c>
      <c r="BG1086" s="95">
        <v>0</v>
      </c>
      <c r="BH1086" s="95">
        <f t="shared" ref="BH1086:BJ1104" si="649">+BB1086-BA1086</f>
        <v>3.4722222189884633E-3</v>
      </c>
      <c r="BI1086" s="95">
        <f t="shared" si="649"/>
        <v>0</v>
      </c>
      <c r="BJ1086" s="95">
        <f t="shared" si="649"/>
        <v>0.10625000000436557</v>
      </c>
      <c r="BK1086" s="95">
        <f t="shared" ref="BK1086:BK1104" si="650">+BI1086+BJ1086</f>
        <v>0.10625000000436557</v>
      </c>
      <c r="BL1086" s="95">
        <f t="shared" ref="BL1086:BL1104" si="651">+BE1086-BH1086-BF1086-BG1086</f>
        <v>0.10625000000436557</v>
      </c>
      <c r="BM1086" s="95" t="str">
        <f t="shared" ref="BM1086:BM1104" si="652">IF(VALUE(BE1086)&lt;=VALUE("05:00"),"00:00",VALUE(BE1086)-VALUE("05:00"))</f>
        <v>00:00</v>
      </c>
      <c r="BN1086" s="110"/>
    </row>
    <row r="1087" spans="1:66" s="8" customFormat="1" ht="12.75" customHeight="1" x14ac:dyDescent="0.25">
      <c r="A1087" s="150">
        <v>1001</v>
      </c>
      <c r="B1087" s="150">
        <v>20</v>
      </c>
      <c r="C1087" s="90">
        <v>12</v>
      </c>
      <c r="D1087" s="111" t="s">
        <v>113</v>
      </c>
      <c r="E1087" s="210" t="s">
        <v>948</v>
      </c>
      <c r="F1087" s="150" t="s">
        <v>14</v>
      </c>
      <c r="G1087" s="150" t="s">
        <v>15</v>
      </c>
      <c r="H1087" s="150" t="s">
        <v>779</v>
      </c>
      <c r="I1087" s="150" t="s">
        <v>1092</v>
      </c>
      <c r="J1087" s="151">
        <v>45694</v>
      </c>
      <c r="K1087" s="135" t="s">
        <v>117</v>
      </c>
      <c r="L1087" s="135">
        <v>281000282</v>
      </c>
      <c r="M1087" s="151">
        <v>45695</v>
      </c>
      <c r="N1087" s="152">
        <v>45695.1875</v>
      </c>
      <c r="O1087" s="152">
        <v>45695.1875</v>
      </c>
      <c r="P1087" s="152">
        <v>45695.190972222219</v>
      </c>
      <c r="Q1087" s="152">
        <v>45695.375</v>
      </c>
      <c r="R1087" s="152" t="s">
        <v>118</v>
      </c>
      <c r="S1087" s="152" t="s">
        <v>118</v>
      </c>
      <c r="T1087" s="152">
        <v>45695.395833333336</v>
      </c>
      <c r="U1087" s="152">
        <v>45695.48333333333</v>
      </c>
      <c r="V1087" s="219">
        <f t="shared" si="644"/>
        <v>0.1875</v>
      </c>
      <c r="W1087" s="203">
        <v>0.20833333333333334</v>
      </c>
      <c r="X1087" s="219" t="str">
        <f t="shared" si="645"/>
        <v>00:00</v>
      </c>
      <c r="Y1087" s="96">
        <v>0</v>
      </c>
      <c r="Z1087" s="96">
        <v>58</v>
      </c>
      <c r="AA1087" s="96">
        <f t="shared" si="624"/>
        <v>58</v>
      </c>
      <c r="AB1087" s="97">
        <f t="shared" si="625"/>
        <v>0</v>
      </c>
      <c r="AC1087" s="97">
        <f t="shared" si="626"/>
        <v>3916</v>
      </c>
      <c r="AD1087" s="98">
        <v>3916</v>
      </c>
      <c r="AE1087" s="98">
        <v>4060</v>
      </c>
      <c r="AF1087" s="98">
        <v>4060</v>
      </c>
      <c r="AG1087" s="98">
        <f t="shared" si="627"/>
        <v>144</v>
      </c>
      <c r="AH1087" s="99">
        <v>1435.6</v>
      </c>
      <c r="AI1087" s="100">
        <f t="shared" si="628"/>
        <v>5828536</v>
      </c>
      <c r="AJ1087" s="100">
        <f>(0*AH1087)*2</f>
        <v>0</v>
      </c>
      <c r="AK1087" s="100">
        <v>0</v>
      </c>
      <c r="AL1087" s="100">
        <v>0</v>
      </c>
      <c r="AM1087" s="100">
        <v>0</v>
      </c>
      <c r="AN1087" s="100">
        <v>0</v>
      </c>
      <c r="AO1087" s="100">
        <v>0</v>
      </c>
      <c r="AP1087" s="100">
        <f t="shared" si="643"/>
        <v>291427</v>
      </c>
      <c r="AQ1087" s="101">
        <f t="shared" si="641"/>
        <v>6119963</v>
      </c>
      <c r="AR1087" s="101">
        <v>0</v>
      </c>
      <c r="AS1087" s="101">
        <v>0</v>
      </c>
      <c r="AT1087" s="102" t="s">
        <v>33</v>
      </c>
      <c r="AU1087" s="109" t="s">
        <v>118</v>
      </c>
      <c r="AV1087" s="100">
        <v>0</v>
      </c>
      <c r="AW1087" s="105">
        <v>0</v>
      </c>
      <c r="AX1087" s="216">
        <f t="shared" si="646"/>
        <v>3.5467980295566504</v>
      </c>
      <c r="AY1087" s="217">
        <f t="shared" si="647"/>
        <v>206727</v>
      </c>
      <c r="AZ1087" s="107"/>
      <c r="BA1087" s="94">
        <v>45695.173611111109</v>
      </c>
      <c r="BB1087" s="94">
        <v>45695.177083333336</v>
      </c>
      <c r="BC1087" s="94">
        <v>45695.177083333336</v>
      </c>
      <c r="BD1087" s="94">
        <v>45695.345138888886</v>
      </c>
      <c r="BE1087" s="95">
        <f t="shared" si="648"/>
        <v>0.17152777777664596</v>
      </c>
      <c r="BF1087" s="95">
        <v>0</v>
      </c>
      <c r="BG1087" s="95">
        <v>3.7499999999999999E-2</v>
      </c>
      <c r="BH1087" s="95">
        <f t="shared" si="649"/>
        <v>3.4722222262644209E-3</v>
      </c>
      <c r="BI1087" s="95">
        <f t="shared" si="649"/>
        <v>0</v>
      </c>
      <c r="BJ1087" s="95">
        <f t="shared" si="649"/>
        <v>0.16805555555038154</v>
      </c>
      <c r="BK1087" s="95">
        <f t="shared" si="650"/>
        <v>0.16805555555038154</v>
      </c>
      <c r="BL1087" s="95">
        <f t="shared" si="651"/>
        <v>0.13055555555038154</v>
      </c>
      <c r="BM1087" s="95" t="str">
        <f t="shared" si="652"/>
        <v>00:00</v>
      </c>
      <c r="BN1087" s="110"/>
    </row>
    <row r="1088" spans="1:66" s="8" customFormat="1" ht="12.75" customHeight="1" x14ac:dyDescent="0.25">
      <c r="A1088" s="150">
        <v>1002</v>
      </c>
      <c r="B1088" s="150">
        <v>21</v>
      </c>
      <c r="C1088" s="90">
        <v>6</v>
      </c>
      <c r="D1088" s="111" t="s">
        <v>148</v>
      </c>
      <c r="E1088" s="210" t="s">
        <v>1087</v>
      </c>
      <c r="F1088" s="150" t="s">
        <v>16</v>
      </c>
      <c r="G1088" s="150" t="s">
        <v>17</v>
      </c>
      <c r="H1088" s="150" t="s">
        <v>150</v>
      </c>
      <c r="I1088" s="150" t="s">
        <v>661</v>
      </c>
      <c r="J1088" s="151">
        <v>45694</v>
      </c>
      <c r="K1088" s="135" t="s">
        <v>122</v>
      </c>
      <c r="L1088" s="135">
        <v>461000735</v>
      </c>
      <c r="M1088" s="151">
        <v>45695</v>
      </c>
      <c r="N1088" s="152">
        <v>45695.583333333336</v>
      </c>
      <c r="O1088" s="152">
        <v>45695.583333333336</v>
      </c>
      <c r="P1088" s="152">
        <v>45695.590277777781</v>
      </c>
      <c r="Q1088" s="152">
        <v>45695.729166666664</v>
      </c>
      <c r="R1088" s="152" t="s">
        <v>118</v>
      </c>
      <c r="S1088" s="152" t="s">
        <v>118</v>
      </c>
      <c r="T1088" s="152">
        <v>45695.75</v>
      </c>
      <c r="U1088" s="152">
        <v>45695.801388888889</v>
      </c>
      <c r="V1088" s="219">
        <f t="shared" si="644"/>
        <v>0.14583333332848269</v>
      </c>
      <c r="W1088" s="203">
        <v>0.20833333333333334</v>
      </c>
      <c r="X1088" s="219" t="str">
        <f t="shared" si="645"/>
        <v>00:00</v>
      </c>
      <c r="Y1088" s="96">
        <v>0</v>
      </c>
      <c r="Z1088" s="96">
        <v>59</v>
      </c>
      <c r="AA1088" s="96">
        <f t="shared" si="624"/>
        <v>59</v>
      </c>
      <c r="AB1088" s="97">
        <f t="shared" si="625"/>
        <v>0</v>
      </c>
      <c r="AC1088" s="97">
        <f t="shared" si="626"/>
        <v>4026.81</v>
      </c>
      <c r="AD1088" s="98">
        <v>4026.81</v>
      </c>
      <c r="AE1088" s="98">
        <v>4096.3999999999996</v>
      </c>
      <c r="AF1088" s="98">
        <v>4102.2</v>
      </c>
      <c r="AG1088" s="98">
        <f t="shared" si="627"/>
        <v>75.389999999999873</v>
      </c>
      <c r="AH1088" s="99">
        <v>672.5</v>
      </c>
      <c r="AI1088" s="100">
        <f t="shared" si="628"/>
        <v>2758729.5</v>
      </c>
      <c r="AJ1088" s="100">
        <f>(1*AH1088)*2</f>
        <v>1345</v>
      </c>
      <c r="AK1088" s="100">
        <v>0</v>
      </c>
      <c r="AL1088" s="100">
        <v>0</v>
      </c>
      <c r="AM1088" s="100">
        <v>0</v>
      </c>
      <c r="AN1088" s="100">
        <v>0</v>
      </c>
      <c r="AO1088" s="100">
        <v>0</v>
      </c>
      <c r="AP1088" s="100">
        <f t="shared" si="643"/>
        <v>138004</v>
      </c>
      <c r="AQ1088" s="101">
        <f t="shared" si="641"/>
        <v>2898079</v>
      </c>
      <c r="AR1088" s="101">
        <v>0</v>
      </c>
      <c r="AS1088" s="101">
        <v>0</v>
      </c>
      <c r="AT1088" s="102" t="s">
        <v>33</v>
      </c>
      <c r="AU1088" s="109" t="s">
        <v>118</v>
      </c>
      <c r="AV1088" s="100">
        <v>0</v>
      </c>
      <c r="AW1088" s="105">
        <v>0</v>
      </c>
      <c r="AX1088" s="216">
        <f t="shared" si="646"/>
        <v>1.8377943542489366</v>
      </c>
      <c r="AY1088" s="217">
        <f t="shared" si="647"/>
        <v>50700</v>
      </c>
      <c r="AZ1088" s="107"/>
      <c r="BA1088" s="94">
        <v>45695.583333333336</v>
      </c>
      <c r="BB1088" s="94">
        <v>45695.590277777781</v>
      </c>
      <c r="BC1088" s="94">
        <v>45695.590277777781</v>
      </c>
      <c r="BD1088" s="94">
        <v>45695.713888888888</v>
      </c>
      <c r="BE1088" s="95">
        <f t="shared" si="648"/>
        <v>0.13055555555183673</v>
      </c>
      <c r="BF1088" s="95">
        <v>2.0833333333333333E-3</v>
      </c>
      <c r="BG1088" s="95">
        <v>0</v>
      </c>
      <c r="BH1088" s="95">
        <f t="shared" si="649"/>
        <v>6.9444444452528842E-3</v>
      </c>
      <c r="BI1088" s="95">
        <f t="shared" si="649"/>
        <v>0</v>
      </c>
      <c r="BJ1088" s="95">
        <f t="shared" si="649"/>
        <v>0.12361111110658385</v>
      </c>
      <c r="BK1088" s="95">
        <f t="shared" si="650"/>
        <v>0.12361111110658385</v>
      </c>
      <c r="BL1088" s="95">
        <f t="shared" si="651"/>
        <v>0.12152777777325051</v>
      </c>
      <c r="BM1088" s="95" t="str">
        <f t="shared" si="652"/>
        <v>00:00</v>
      </c>
      <c r="BN1088" s="110"/>
    </row>
    <row r="1089" spans="1:66" s="8" customFormat="1" ht="12.75" customHeight="1" x14ac:dyDescent="0.25">
      <c r="A1089" s="150">
        <v>1003</v>
      </c>
      <c r="B1089" s="150">
        <v>22</v>
      </c>
      <c r="C1089" s="90">
        <v>7</v>
      </c>
      <c r="D1089" s="111" t="s">
        <v>148</v>
      </c>
      <c r="E1089" s="210" t="s">
        <v>1087</v>
      </c>
      <c r="F1089" s="150" t="s">
        <v>16</v>
      </c>
      <c r="G1089" s="150" t="s">
        <v>17</v>
      </c>
      <c r="H1089" s="150" t="s">
        <v>150</v>
      </c>
      <c r="I1089" s="150" t="s">
        <v>665</v>
      </c>
      <c r="J1089" s="151">
        <v>45694</v>
      </c>
      <c r="K1089" s="135" t="s">
        <v>117</v>
      </c>
      <c r="L1089" s="135">
        <v>461000736</v>
      </c>
      <c r="M1089" s="151">
        <v>45696</v>
      </c>
      <c r="N1089" s="152">
        <v>45695.729166666664</v>
      </c>
      <c r="O1089" s="152">
        <v>45695.729166666664</v>
      </c>
      <c r="P1089" s="152">
        <v>45695.732638888891</v>
      </c>
      <c r="Q1089" s="152">
        <v>45695.895833333336</v>
      </c>
      <c r="R1089" s="152" t="s">
        <v>118</v>
      </c>
      <c r="S1089" s="152" t="s">
        <v>118</v>
      </c>
      <c r="T1089" s="152">
        <v>45696.09375</v>
      </c>
      <c r="U1089" s="152">
        <v>45696.179166666669</v>
      </c>
      <c r="V1089" s="219">
        <f t="shared" si="644"/>
        <v>0.16666666667151731</v>
      </c>
      <c r="W1089" s="203">
        <v>0.20833333333333334</v>
      </c>
      <c r="X1089" s="219" t="str">
        <f t="shared" si="645"/>
        <v>00:00</v>
      </c>
      <c r="Y1089" s="96">
        <v>0</v>
      </c>
      <c r="Z1089" s="96">
        <v>59</v>
      </c>
      <c r="AA1089" s="96">
        <f t="shared" si="624"/>
        <v>59</v>
      </c>
      <c r="AB1089" s="97">
        <f t="shared" si="625"/>
        <v>0</v>
      </c>
      <c r="AC1089" s="97">
        <f t="shared" si="626"/>
        <v>4111.29</v>
      </c>
      <c r="AD1089" s="98">
        <v>4111.29</v>
      </c>
      <c r="AE1089" s="98">
        <v>4106</v>
      </c>
      <c r="AF1089" s="98">
        <v>4117.8</v>
      </c>
      <c r="AG1089" s="98">
        <f t="shared" si="627"/>
        <v>6.5100000000002183</v>
      </c>
      <c r="AH1089" s="99">
        <v>672.5</v>
      </c>
      <c r="AI1089" s="100">
        <f t="shared" si="628"/>
        <v>2769220.5</v>
      </c>
      <c r="AJ1089" s="100">
        <f>(11.6*AH1089)*3</f>
        <v>23403</v>
      </c>
      <c r="AK1089" s="100">
        <v>0</v>
      </c>
      <c r="AL1089" s="100">
        <v>0</v>
      </c>
      <c r="AM1089" s="100">
        <v>0</v>
      </c>
      <c r="AN1089" s="100">
        <v>0</v>
      </c>
      <c r="AO1089" s="100">
        <v>0</v>
      </c>
      <c r="AP1089" s="100">
        <f t="shared" si="643"/>
        <v>139632</v>
      </c>
      <c r="AQ1089" s="101">
        <f t="shared" si="641"/>
        <v>2932256</v>
      </c>
      <c r="AR1089" s="101">
        <v>0</v>
      </c>
      <c r="AS1089" s="101">
        <v>0</v>
      </c>
      <c r="AT1089" s="102" t="s">
        <v>33</v>
      </c>
      <c r="AU1089" s="109" t="s">
        <v>118</v>
      </c>
      <c r="AV1089" s="100">
        <v>0</v>
      </c>
      <c r="AW1089" s="105">
        <v>0</v>
      </c>
      <c r="AX1089" s="216">
        <f t="shared" si="646"/>
        <v>0.15809412793239636</v>
      </c>
      <c r="AY1089" s="217">
        <f t="shared" si="647"/>
        <v>4378</v>
      </c>
      <c r="AZ1089" s="107"/>
      <c r="BA1089" s="94">
        <v>45695.729166666664</v>
      </c>
      <c r="BB1089" s="94">
        <v>45695.732638888891</v>
      </c>
      <c r="BC1089" s="94">
        <v>45695.732638888891</v>
      </c>
      <c r="BD1089" s="94">
        <v>45695.84375</v>
      </c>
      <c r="BE1089" s="95">
        <f t="shared" si="648"/>
        <v>0.11458333333575865</v>
      </c>
      <c r="BF1089" s="95">
        <v>0</v>
      </c>
      <c r="BG1089" s="95">
        <v>0</v>
      </c>
      <c r="BH1089" s="95">
        <f t="shared" si="649"/>
        <v>3.4722222262644209E-3</v>
      </c>
      <c r="BI1089" s="95">
        <f t="shared" si="649"/>
        <v>0</v>
      </c>
      <c r="BJ1089" s="95">
        <f t="shared" si="649"/>
        <v>0.11111111110949423</v>
      </c>
      <c r="BK1089" s="95">
        <f t="shared" si="650"/>
        <v>0.11111111110949423</v>
      </c>
      <c r="BL1089" s="95">
        <f t="shared" si="651"/>
        <v>0.11111111110949423</v>
      </c>
      <c r="BM1089" s="95" t="str">
        <f t="shared" si="652"/>
        <v>00:00</v>
      </c>
      <c r="BN1089" s="110"/>
    </row>
    <row r="1090" spans="1:66" s="8" customFormat="1" ht="12.75" customHeight="1" x14ac:dyDescent="0.25">
      <c r="A1090" s="150">
        <v>1004</v>
      </c>
      <c r="B1090" s="150">
        <v>23</v>
      </c>
      <c r="C1090" s="90">
        <v>8</v>
      </c>
      <c r="D1090" s="111" t="s">
        <v>148</v>
      </c>
      <c r="E1090" s="210" t="s">
        <v>1087</v>
      </c>
      <c r="F1090" s="150" t="s">
        <v>16</v>
      </c>
      <c r="G1090" s="150" t="s">
        <v>17</v>
      </c>
      <c r="H1090" s="150" t="s">
        <v>150</v>
      </c>
      <c r="I1090" s="150" t="s">
        <v>666</v>
      </c>
      <c r="J1090" s="151">
        <v>45694</v>
      </c>
      <c r="K1090" s="135" t="s">
        <v>122</v>
      </c>
      <c r="L1090" s="135">
        <v>461000737</v>
      </c>
      <c r="M1090" s="151">
        <v>45696</v>
      </c>
      <c r="N1090" s="152">
        <v>45696.09375</v>
      </c>
      <c r="O1090" s="152">
        <v>45696.083333333336</v>
      </c>
      <c r="P1090" s="152">
        <v>45696.104166666664</v>
      </c>
      <c r="Q1090" s="152">
        <v>45696.25</v>
      </c>
      <c r="R1090" s="152">
        <v>45696.09375</v>
      </c>
      <c r="S1090" s="152" t="s">
        <v>118</v>
      </c>
      <c r="T1090" s="152">
        <v>45696.333333333336</v>
      </c>
      <c r="U1090" s="152">
        <v>45696.396527777775</v>
      </c>
      <c r="V1090" s="219">
        <f t="shared" si="644"/>
        <v>0.16666666666424135</v>
      </c>
      <c r="W1090" s="203">
        <v>0.20833333333333334</v>
      </c>
      <c r="X1090" s="219" t="str">
        <f t="shared" si="645"/>
        <v>00:00</v>
      </c>
      <c r="Y1090" s="96">
        <v>0</v>
      </c>
      <c r="Z1090" s="96">
        <v>58</v>
      </c>
      <c r="AA1090" s="96">
        <f t="shared" si="624"/>
        <v>58</v>
      </c>
      <c r="AB1090" s="97">
        <f t="shared" si="625"/>
        <v>0</v>
      </c>
      <c r="AC1090" s="97">
        <f t="shared" si="626"/>
        <v>3875.78</v>
      </c>
      <c r="AD1090" s="98">
        <v>3875.78</v>
      </c>
      <c r="AE1090" s="98">
        <v>4022.5</v>
      </c>
      <c r="AF1090" s="98">
        <v>4022.6</v>
      </c>
      <c r="AG1090" s="98">
        <f t="shared" si="627"/>
        <v>146.81999999999971</v>
      </c>
      <c r="AH1090" s="99">
        <v>672.5</v>
      </c>
      <c r="AI1090" s="100">
        <f t="shared" si="628"/>
        <v>2705198.5</v>
      </c>
      <c r="AJ1090" s="100">
        <f>(0*AH1090)*2</f>
        <v>0</v>
      </c>
      <c r="AK1090" s="100">
        <v>0</v>
      </c>
      <c r="AL1090" s="100">
        <v>0</v>
      </c>
      <c r="AM1090" s="100">
        <v>0</v>
      </c>
      <c r="AN1090" s="100">
        <v>0</v>
      </c>
      <c r="AO1090" s="100">
        <v>0</v>
      </c>
      <c r="AP1090" s="100">
        <f t="shared" si="643"/>
        <v>135260</v>
      </c>
      <c r="AQ1090" s="101">
        <f t="shared" si="641"/>
        <v>2840459</v>
      </c>
      <c r="AR1090" s="101">
        <v>0</v>
      </c>
      <c r="AS1090" s="101">
        <v>0</v>
      </c>
      <c r="AT1090" s="102" t="s">
        <v>33</v>
      </c>
      <c r="AU1090" s="109" t="s">
        <v>118</v>
      </c>
      <c r="AV1090" s="100">
        <v>0</v>
      </c>
      <c r="AW1090" s="105">
        <v>0</v>
      </c>
      <c r="AX1090" s="216">
        <f t="shared" si="646"/>
        <v>3.6498781882364573</v>
      </c>
      <c r="AY1090" s="217">
        <f t="shared" si="647"/>
        <v>98737</v>
      </c>
      <c r="AZ1090" s="107"/>
      <c r="BA1090" s="94">
        <v>45696.09375</v>
      </c>
      <c r="BB1090" s="94">
        <v>45696.104166666664</v>
      </c>
      <c r="BC1090" s="94">
        <v>45696.104166666664</v>
      </c>
      <c r="BD1090" s="94">
        <v>45696.225694444445</v>
      </c>
      <c r="BE1090" s="95">
        <f t="shared" si="648"/>
        <v>0.13194444444525288</v>
      </c>
      <c r="BF1090" s="95">
        <v>0</v>
      </c>
      <c r="BG1090" s="95">
        <v>0</v>
      </c>
      <c r="BH1090" s="95">
        <f t="shared" si="649"/>
        <v>1.0416666664241347E-2</v>
      </c>
      <c r="BI1090" s="95">
        <f t="shared" si="649"/>
        <v>0</v>
      </c>
      <c r="BJ1090" s="95">
        <f t="shared" si="649"/>
        <v>0.12152777778101154</v>
      </c>
      <c r="BK1090" s="95">
        <f t="shared" si="650"/>
        <v>0.12152777778101154</v>
      </c>
      <c r="BL1090" s="95">
        <f t="shared" si="651"/>
        <v>0.12152777778101154</v>
      </c>
      <c r="BM1090" s="95" t="str">
        <f t="shared" si="652"/>
        <v>00:00</v>
      </c>
      <c r="BN1090" s="110"/>
    </row>
    <row r="1091" spans="1:66" s="8" customFormat="1" ht="12.75" customHeight="1" x14ac:dyDescent="0.25">
      <c r="A1091" s="150">
        <v>1005</v>
      </c>
      <c r="B1091" s="150">
        <v>24</v>
      </c>
      <c r="C1091" s="90">
        <v>13</v>
      </c>
      <c r="D1091" s="111" t="s">
        <v>113</v>
      </c>
      <c r="E1091" s="210" t="s">
        <v>1024</v>
      </c>
      <c r="F1091" s="150" t="s">
        <v>32</v>
      </c>
      <c r="G1091" s="150" t="s">
        <v>15</v>
      </c>
      <c r="H1091" s="150" t="s">
        <v>135</v>
      </c>
      <c r="I1091" s="150" t="s">
        <v>751</v>
      </c>
      <c r="J1091" s="151">
        <v>45696</v>
      </c>
      <c r="K1091" s="135" t="s">
        <v>117</v>
      </c>
      <c r="L1091" s="135">
        <v>261006233</v>
      </c>
      <c r="M1091" s="151">
        <v>45697</v>
      </c>
      <c r="N1091" s="152">
        <v>45696.604166666664</v>
      </c>
      <c r="O1091" s="152">
        <v>45696.604166666664</v>
      </c>
      <c r="P1091" s="152">
        <v>45696.628472222219</v>
      </c>
      <c r="Q1091" s="152">
        <v>45696.8125</v>
      </c>
      <c r="R1091" s="152" t="s">
        <v>118</v>
      </c>
      <c r="S1091" s="152" t="s">
        <v>118</v>
      </c>
      <c r="T1091" s="152">
        <v>45696.864583333336</v>
      </c>
      <c r="U1091" s="152">
        <v>45697.04791666667</v>
      </c>
      <c r="V1091" s="219">
        <f t="shared" si="644"/>
        <v>0.20833333333575865</v>
      </c>
      <c r="W1091" s="203">
        <v>0.20833333333333334</v>
      </c>
      <c r="X1091" s="219">
        <f t="shared" si="645"/>
        <v>2.4253099528692701E-12</v>
      </c>
      <c r="Y1091" s="96">
        <v>0</v>
      </c>
      <c r="Z1091" s="96">
        <v>58</v>
      </c>
      <c r="AA1091" s="96">
        <f t="shared" si="624"/>
        <v>58</v>
      </c>
      <c r="AB1091" s="97">
        <f t="shared" si="625"/>
        <v>0</v>
      </c>
      <c r="AC1091" s="97">
        <f t="shared" si="626"/>
        <v>3869.7199999999993</v>
      </c>
      <c r="AD1091" s="98">
        <v>3869.72</v>
      </c>
      <c r="AE1091" s="98">
        <v>4020.9</v>
      </c>
      <c r="AF1091" s="98">
        <v>4030</v>
      </c>
      <c r="AG1091" s="98">
        <f t="shared" si="627"/>
        <v>160.2800000000002</v>
      </c>
      <c r="AH1091" s="99">
        <v>797.2</v>
      </c>
      <c r="AI1091" s="100">
        <f t="shared" si="628"/>
        <v>3212716</v>
      </c>
      <c r="AJ1091" s="100">
        <f>(0*AH1091)*2</f>
        <v>0</v>
      </c>
      <c r="AK1091" s="100">
        <v>0</v>
      </c>
      <c r="AL1091" s="100">
        <v>0</v>
      </c>
      <c r="AM1091" s="100">
        <v>0</v>
      </c>
      <c r="AN1091" s="100">
        <v>0</v>
      </c>
      <c r="AO1091" s="100">
        <v>0</v>
      </c>
      <c r="AP1091" s="100">
        <f t="shared" si="643"/>
        <v>160636</v>
      </c>
      <c r="AQ1091" s="101">
        <f t="shared" si="641"/>
        <v>3373352</v>
      </c>
      <c r="AR1091" s="101">
        <v>0</v>
      </c>
      <c r="AS1091" s="101">
        <v>0</v>
      </c>
      <c r="AT1091" s="102" t="s">
        <v>33</v>
      </c>
      <c r="AU1091" s="109" t="s">
        <v>118</v>
      </c>
      <c r="AV1091" s="100">
        <v>0</v>
      </c>
      <c r="AW1091" s="105">
        <v>0</v>
      </c>
      <c r="AX1091" s="216">
        <f t="shared" si="646"/>
        <v>3.9771712158808983</v>
      </c>
      <c r="AY1091" s="217">
        <f t="shared" si="647"/>
        <v>127776</v>
      </c>
      <c r="AZ1091" s="107"/>
      <c r="BA1091" s="94">
        <v>45696.604166666664</v>
      </c>
      <c r="BB1091" s="94">
        <v>45696.628472222219</v>
      </c>
      <c r="BC1091" s="94">
        <v>45696.635416666664</v>
      </c>
      <c r="BD1091" s="94">
        <v>45696.827777777777</v>
      </c>
      <c r="BE1091" s="95">
        <f t="shared" si="648"/>
        <v>0.22361111111240461</v>
      </c>
      <c r="BF1091" s="95">
        <v>0</v>
      </c>
      <c r="BG1091" s="95">
        <v>5.9722222222222225E-2</v>
      </c>
      <c r="BH1091" s="95">
        <f t="shared" si="649"/>
        <v>2.4305555554747116E-2</v>
      </c>
      <c r="BI1091" s="95">
        <f t="shared" si="649"/>
        <v>6.9444444452528842E-3</v>
      </c>
      <c r="BJ1091" s="95">
        <f t="shared" si="649"/>
        <v>0.19236111111240461</v>
      </c>
      <c r="BK1091" s="95">
        <f t="shared" si="650"/>
        <v>0.1993055555576575</v>
      </c>
      <c r="BL1091" s="95">
        <f t="shared" si="651"/>
        <v>0.13958333333543527</v>
      </c>
      <c r="BM1091" s="95">
        <f t="shared" si="652"/>
        <v>1.5277777779071272E-2</v>
      </c>
      <c r="BN1091" s="110"/>
    </row>
    <row r="1092" spans="1:66" s="8" customFormat="1" ht="12.75" customHeight="1" x14ac:dyDescent="0.25">
      <c r="A1092" s="150">
        <v>1006</v>
      </c>
      <c r="B1092" s="150">
        <v>25</v>
      </c>
      <c r="C1092" s="90">
        <v>9</v>
      </c>
      <c r="D1092" s="111" t="s">
        <v>148</v>
      </c>
      <c r="E1092" s="210" t="s">
        <v>1087</v>
      </c>
      <c r="F1092" s="150" t="s">
        <v>16</v>
      </c>
      <c r="G1092" s="150" t="s">
        <v>17</v>
      </c>
      <c r="H1092" s="150" t="s">
        <v>150</v>
      </c>
      <c r="I1092" s="150" t="s">
        <v>669</v>
      </c>
      <c r="J1092" s="151">
        <v>45695</v>
      </c>
      <c r="K1092" s="135" t="s">
        <v>122</v>
      </c>
      <c r="L1092" s="135">
        <v>461000738</v>
      </c>
      <c r="M1092" s="151">
        <v>45697</v>
      </c>
      <c r="N1092" s="152">
        <v>45696.791666666664</v>
      </c>
      <c r="O1092" s="152">
        <v>45696.791666666664</v>
      </c>
      <c r="P1092" s="152">
        <v>45696.795138888891</v>
      </c>
      <c r="Q1092" s="152">
        <v>45696.979166666664</v>
      </c>
      <c r="R1092" s="152" t="s">
        <v>118</v>
      </c>
      <c r="S1092" s="152" t="s">
        <v>118</v>
      </c>
      <c r="T1092" s="152">
        <v>45697.270833333336</v>
      </c>
      <c r="U1092" s="152">
        <v>45697.330555555556</v>
      </c>
      <c r="V1092" s="219">
        <f t="shared" si="644"/>
        <v>0.1875</v>
      </c>
      <c r="W1092" s="203">
        <v>0.20833333333333334</v>
      </c>
      <c r="X1092" s="219" t="str">
        <f t="shared" si="645"/>
        <v>00:00</v>
      </c>
      <c r="Y1092" s="96">
        <v>0</v>
      </c>
      <c r="Z1092" s="96">
        <v>58</v>
      </c>
      <c r="AA1092" s="96">
        <f t="shared" si="624"/>
        <v>58</v>
      </c>
      <c r="AB1092" s="97">
        <f t="shared" si="625"/>
        <v>0</v>
      </c>
      <c r="AC1092" s="97">
        <f t="shared" si="626"/>
        <v>3979.5</v>
      </c>
      <c r="AD1092" s="98">
        <v>3979.5</v>
      </c>
      <c r="AE1092" s="98">
        <v>4037</v>
      </c>
      <c r="AF1092" s="98">
        <v>4043.4</v>
      </c>
      <c r="AG1092" s="98">
        <f t="shared" si="627"/>
        <v>63.900000000000091</v>
      </c>
      <c r="AH1092" s="99">
        <v>672.5</v>
      </c>
      <c r="AI1092" s="100">
        <f t="shared" si="628"/>
        <v>2719186.5</v>
      </c>
      <c r="AJ1092" s="100">
        <f>(1.2*AH1092)*2</f>
        <v>1614</v>
      </c>
      <c r="AK1092" s="100">
        <v>0</v>
      </c>
      <c r="AL1092" s="100">
        <v>0</v>
      </c>
      <c r="AM1092" s="100">
        <v>0</v>
      </c>
      <c r="AN1092" s="100">
        <v>0</v>
      </c>
      <c r="AO1092" s="100">
        <v>0</v>
      </c>
      <c r="AP1092" s="100">
        <f t="shared" si="643"/>
        <v>136041</v>
      </c>
      <c r="AQ1092" s="101">
        <f t="shared" si="641"/>
        <v>2856842</v>
      </c>
      <c r="AR1092" s="101">
        <v>0</v>
      </c>
      <c r="AS1092" s="101">
        <v>0</v>
      </c>
      <c r="AT1092" s="102" t="s">
        <v>33</v>
      </c>
      <c r="AU1092" s="109" t="s">
        <v>118</v>
      </c>
      <c r="AV1092" s="100">
        <v>0</v>
      </c>
      <c r="AW1092" s="105">
        <v>0</v>
      </c>
      <c r="AX1092" s="216">
        <f t="shared" si="646"/>
        <v>1.5803531681258369</v>
      </c>
      <c r="AY1092" s="217">
        <f t="shared" si="647"/>
        <v>42973</v>
      </c>
      <c r="AZ1092" s="107"/>
      <c r="BA1092" s="94">
        <v>45696.791666666664</v>
      </c>
      <c r="BB1092" s="94">
        <v>45696.795138888891</v>
      </c>
      <c r="BC1092" s="94">
        <v>45696.84375</v>
      </c>
      <c r="BD1092" s="94">
        <v>45696.961111111108</v>
      </c>
      <c r="BE1092" s="95">
        <f t="shared" si="648"/>
        <v>0.16944444444379769</v>
      </c>
      <c r="BF1092" s="95">
        <v>6.9444444444444441E-3</v>
      </c>
      <c r="BG1092" s="95">
        <v>4.1666666666666664E-2</v>
      </c>
      <c r="BH1092" s="95">
        <f t="shared" si="649"/>
        <v>3.4722222262644209E-3</v>
      </c>
      <c r="BI1092" s="95">
        <f t="shared" si="649"/>
        <v>4.8611111109494232E-2</v>
      </c>
      <c r="BJ1092" s="95">
        <f t="shared" si="649"/>
        <v>0.11736111110803904</v>
      </c>
      <c r="BK1092" s="95">
        <f t="shared" si="650"/>
        <v>0.16597222221753327</v>
      </c>
      <c r="BL1092" s="95">
        <f t="shared" si="651"/>
        <v>0.11736111110642217</v>
      </c>
      <c r="BM1092" s="95" t="str">
        <f t="shared" si="652"/>
        <v>00:00</v>
      </c>
      <c r="BN1092" s="110"/>
    </row>
    <row r="1093" spans="1:66" s="8" customFormat="1" ht="12.75" customHeight="1" x14ac:dyDescent="0.25">
      <c r="A1093" s="150">
        <v>1007</v>
      </c>
      <c r="B1093" s="150">
        <v>26</v>
      </c>
      <c r="C1093" s="90">
        <v>10</v>
      </c>
      <c r="D1093" s="111" t="s">
        <v>148</v>
      </c>
      <c r="E1093" s="210" t="s">
        <v>1087</v>
      </c>
      <c r="F1093" s="150" t="s">
        <v>16</v>
      </c>
      <c r="G1093" s="150" t="s">
        <v>17</v>
      </c>
      <c r="H1093" s="150" t="s">
        <v>150</v>
      </c>
      <c r="I1093" s="150" t="s">
        <v>671</v>
      </c>
      <c r="J1093" s="151">
        <v>45695</v>
      </c>
      <c r="K1093" s="135" t="s">
        <v>117</v>
      </c>
      <c r="L1093" s="135">
        <v>461000739</v>
      </c>
      <c r="M1093" s="151">
        <v>45697</v>
      </c>
      <c r="N1093" s="152">
        <v>45697.208333333336</v>
      </c>
      <c r="O1093" s="152">
        <v>45697.208333333336</v>
      </c>
      <c r="P1093" s="152">
        <v>45697.211805555555</v>
      </c>
      <c r="Q1093" s="152">
        <v>45697.395833333336</v>
      </c>
      <c r="R1093" s="152" t="s">
        <v>118</v>
      </c>
      <c r="S1093" s="152" t="s">
        <v>118</v>
      </c>
      <c r="T1093" s="152">
        <v>45697.430555555555</v>
      </c>
      <c r="U1093" s="152">
        <v>45697.628472222219</v>
      </c>
      <c r="V1093" s="219">
        <f t="shared" si="644"/>
        <v>0.1875</v>
      </c>
      <c r="W1093" s="203">
        <v>0.20833333333333334</v>
      </c>
      <c r="X1093" s="219" t="str">
        <f t="shared" si="645"/>
        <v>00:00</v>
      </c>
      <c r="Y1093" s="96">
        <v>0</v>
      </c>
      <c r="Z1093" s="96">
        <v>58</v>
      </c>
      <c r="AA1093" s="96">
        <f t="shared" si="624"/>
        <v>58</v>
      </c>
      <c r="AB1093" s="97">
        <f t="shared" si="625"/>
        <v>0</v>
      </c>
      <c r="AC1093" s="97">
        <f t="shared" si="626"/>
        <v>4052.0199999999995</v>
      </c>
      <c r="AD1093" s="98">
        <v>4052.02</v>
      </c>
      <c r="AE1093" s="98">
        <v>4038.5</v>
      </c>
      <c r="AF1093" s="98">
        <v>4071.6</v>
      </c>
      <c r="AG1093" s="98">
        <f t="shared" si="627"/>
        <v>19.579999999999927</v>
      </c>
      <c r="AH1093" s="99">
        <v>672.5</v>
      </c>
      <c r="AI1093" s="100">
        <f t="shared" si="628"/>
        <v>2738151</v>
      </c>
      <c r="AJ1093" s="100">
        <f>(0*AH1093)*2</f>
        <v>0</v>
      </c>
      <c r="AK1093" s="100">
        <v>0</v>
      </c>
      <c r="AL1093" s="100">
        <v>24140</v>
      </c>
      <c r="AM1093" s="100">
        <v>0</v>
      </c>
      <c r="AN1093" s="100">
        <v>0</v>
      </c>
      <c r="AO1093" s="100">
        <v>0</v>
      </c>
      <c r="AP1093" s="100">
        <f t="shared" si="643"/>
        <v>138115</v>
      </c>
      <c r="AQ1093" s="101">
        <f t="shared" si="641"/>
        <v>2900406</v>
      </c>
      <c r="AR1093" s="101">
        <v>0</v>
      </c>
      <c r="AS1093" s="101">
        <v>0</v>
      </c>
      <c r="AT1093" s="102" t="s">
        <v>33</v>
      </c>
      <c r="AU1093" s="109">
        <v>19</v>
      </c>
      <c r="AV1093" s="100">
        <f>42.78-28.78</f>
        <v>14</v>
      </c>
      <c r="AW1093" s="105">
        <v>0</v>
      </c>
      <c r="AX1093" s="216">
        <f t="shared" si="646"/>
        <v>0.48089203261616875</v>
      </c>
      <c r="AY1093" s="217">
        <f t="shared" si="647"/>
        <v>13168</v>
      </c>
      <c r="AZ1093" s="107"/>
      <c r="BA1093" s="94">
        <v>45697.208333333336</v>
      </c>
      <c r="BB1093" s="94">
        <v>45697.211805555555</v>
      </c>
      <c r="BC1093" s="94">
        <v>45697.211805555555</v>
      </c>
      <c r="BD1093" s="94">
        <v>45697.332638888889</v>
      </c>
      <c r="BE1093" s="95">
        <f t="shared" si="648"/>
        <v>0.12430555555329192</v>
      </c>
      <c r="BF1093" s="95">
        <v>4.8611111111111112E-3</v>
      </c>
      <c r="BG1093" s="95">
        <v>0</v>
      </c>
      <c r="BH1093" s="95">
        <f t="shared" si="649"/>
        <v>3.4722222189884633E-3</v>
      </c>
      <c r="BI1093" s="95">
        <f t="shared" si="649"/>
        <v>0</v>
      </c>
      <c r="BJ1093" s="95">
        <f t="shared" si="649"/>
        <v>0.12083333333430346</v>
      </c>
      <c r="BK1093" s="95">
        <f t="shared" si="650"/>
        <v>0.12083333333430346</v>
      </c>
      <c r="BL1093" s="95">
        <f t="shared" si="651"/>
        <v>0.11597222222319235</v>
      </c>
      <c r="BM1093" s="95" t="str">
        <f t="shared" si="652"/>
        <v>00:00</v>
      </c>
      <c r="BN1093" s="110"/>
    </row>
    <row r="1094" spans="1:66" s="8" customFormat="1" ht="12.75" customHeight="1" x14ac:dyDescent="0.25">
      <c r="A1094" s="150">
        <v>1008</v>
      </c>
      <c r="B1094" s="150">
        <v>27</v>
      </c>
      <c r="C1094" s="90">
        <v>11</v>
      </c>
      <c r="D1094" s="111" t="s">
        <v>148</v>
      </c>
      <c r="E1094" s="210" t="s">
        <v>1087</v>
      </c>
      <c r="F1094" s="150" t="s">
        <v>16</v>
      </c>
      <c r="G1094" s="150" t="s">
        <v>17</v>
      </c>
      <c r="H1094" s="150" t="s">
        <v>150</v>
      </c>
      <c r="I1094" s="150" t="s">
        <v>673</v>
      </c>
      <c r="J1094" s="151">
        <v>45695</v>
      </c>
      <c r="K1094" s="135" t="s">
        <v>122</v>
      </c>
      <c r="L1094" s="135">
        <v>461000740</v>
      </c>
      <c r="M1094" s="151">
        <v>45697</v>
      </c>
      <c r="N1094" s="152">
        <v>45697.572916666664</v>
      </c>
      <c r="O1094" s="152">
        <v>45697.572916666664</v>
      </c>
      <c r="P1094" s="152">
        <v>45697.583333333336</v>
      </c>
      <c r="Q1094" s="152">
        <v>45697.729166666664</v>
      </c>
      <c r="R1094" s="152" t="s">
        <v>118</v>
      </c>
      <c r="S1094" s="152" t="s">
        <v>118</v>
      </c>
      <c r="T1094" s="152">
        <v>45697.774305555555</v>
      </c>
      <c r="U1094" s="152">
        <v>45697.881944444445</v>
      </c>
      <c r="V1094" s="219">
        <f t="shared" si="644"/>
        <v>0.15625</v>
      </c>
      <c r="W1094" s="203">
        <v>0.20833333333333334</v>
      </c>
      <c r="X1094" s="219" t="str">
        <f t="shared" si="645"/>
        <v>00:00</v>
      </c>
      <c r="Y1094" s="96">
        <v>0</v>
      </c>
      <c r="Z1094" s="96">
        <v>59</v>
      </c>
      <c r="AA1094" s="96">
        <f t="shared" si="624"/>
        <v>59</v>
      </c>
      <c r="AB1094" s="97">
        <f t="shared" si="625"/>
        <v>0</v>
      </c>
      <c r="AC1094" s="97">
        <f t="shared" si="626"/>
        <v>4100.66</v>
      </c>
      <c r="AD1094" s="98">
        <v>4100.66</v>
      </c>
      <c r="AE1094" s="98">
        <v>4103.3</v>
      </c>
      <c r="AF1094" s="98">
        <v>4123</v>
      </c>
      <c r="AG1094" s="98">
        <f t="shared" si="627"/>
        <v>22.340000000000146</v>
      </c>
      <c r="AH1094" s="99">
        <v>672.5</v>
      </c>
      <c r="AI1094" s="100">
        <f t="shared" si="628"/>
        <v>2772717.5</v>
      </c>
      <c r="AJ1094" s="100">
        <f>(0*AH1094)*2</f>
        <v>0</v>
      </c>
      <c r="AK1094" s="100">
        <v>0</v>
      </c>
      <c r="AL1094" s="100">
        <v>24290</v>
      </c>
      <c r="AM1094" s="100">
        <v>0</v>
      </c>
      <c r="AN1094" s="100">
        <v>0</v>
      </c>
      <c r="AO1094" s="100">
        <v>0</v>
      </c>
      <c r="AP1094" s="100">
        <f t="shared" si="643"/>
        <v>139851</v>
      </c>
      <c r="AQ1094" s="101">
        <f t="shared" si="641"/>
        <v>2936859</v>
      </c>
      <c r="AR1094" s="101">
        <v>0</v>
      </c>
      <c r="AS1094" s="101">
        <v>0</v>
      </c>
      <c r="AT1094" s="102" t="s">
        <v>33</v>
      </c>
      <c r="AU1094" s="109">
        <v>13</v>
      </c>
      <c r="AV1094" s="100">
        <f>26.92-17.42</f>
        <v>9.5</v>
      </c>
      <c r="AW1094" s="105">
        <v>0</v>
      </c>
      <c r="AX1094" s="216">
        <f t="shared" si="646"/>
        <v>0.54183846713558448</v>
      </c>
      <c r="AY1094" s="217">
        <f t="shared" si="647"/>
        <v>15024</v>
      </c>
      <c r="AZ1094" s="107"/>
      <c r="BA1094" s="94">
        <v>45697.572916666664</v>
      </c>
      <c r="BB1094" s="94">
        <v>45697.583333333336</v>
      </c>
      <c r="BC1094" s="94">
        <v>45697.583333333336</v>
      </c>
      <c r="BD1094" s="94">
        <v>45697.713194444441</v>
      </c>
      <c r="BE1094" s="95">
        <f t="shared" si="648"/>
        <v>0.14027777777664596</v>
      </c>
      <c r="BF1094" s="95">
        <v>6.9444444444444441E-3</v>
      </c>
      <c r="BG1094" s="95">
        <v>0</v>
      </c>
      <c r="BH1094" s="95">
        <f t="shared" si="649"/>
        <v>1.0416666671517305E-2</v>
      </c>
      <c r="BI1094" s="95">
        <f t="shared" si="649"/>
        <v>0</v>
      </c>
      <c r="BJ1094" s="95">
        <f t="shared" si="649"/>
        <v>0.12986111110512866</v>
      </c>
      <c r="BK1094" s="95">
        <f t="shared" si="650"/>
        <v>0.12986111110512866</v>
      </c>
      <c r="BL1094" s="95">
        <f t="shared" si="651"/>
        <v>0.12291666666068421</v>
      </c>
      <c r="BM1094" s="95" t="str">
        <f t="shared" si="652"/>
        <v>00:00</v>
      </c>
      <c r="BN1094" s="110"/>
    </row>
    <row r="1095" spans="1:66" s="8" customFormat="1" ht="12.75" customHeight="1" x14ac:dyDescent="0.25">
      <c r="A1095" s="150">
        <v>1009</v>
      </c>
      <c r="B1095" s="150">
        <v>28</v>
      </c>
      <c r="C1095" s="90">
        <v>12</v>
      </c>
      <c r="D1095" s="111" t="s">
        <v>148</v>
      </c>
      <c r="E1095" s="210" t="s">
        <v>1087</v>
      </c>
      <c r="F1095" s="150" t="s">
        <v>16</v>
      </c>
      <c r="G1095" s="150" t="s">
        <v>17</v>
      </c>
      <c r="H1095" s="150" t="s">
        <v>150</v>
      </c>
      <c r="I1095" s="150" t="s">
        <v>675</v>
      </c>
      <c r="J1095" s="151">
        <v>45696</v>
      </c>
      <c r="K1095" s="135" t="s">
        <v>117</v>
      </c>
      <c r="L1095" s="135">
        <v>461000741</v>
      </c>
      <c r="M1095" s="151">
        <v>45698</v>
      </c>
      <c r="N1095" s="152">
        <v>45697.739583333336</v>
      </c>
      <c r="O1095" s="152">
        <v>45697.739583333336</v>
      </c>
      <c r="P1095" s="152">
        <v>45697.75</v>
      </c>
      <c r="Q1095" s="152">
        <v>45697.9375</v>
      </c>
      <c r="R1095" s="152" t="s">
        <v>118</v>
      </c>
      <c r="S1095" s="152" t="s">
        <v>118</v>
      </c>
      <c r="T1095" s="152">
        <v>45698.020833333336</v>
      </c>
      <c r="U1095" s="152">
        <v>45698.088888888888</v>
      </c>
      <c r="V1095" s="219">
        <f t="shared" si="644"/>
        <v>0.19791666666424135</v>
      </c>
      <c r="W1095" s="203">
        <v>0.20833333333333334</v>
      </c>
      <c r="X1095" s="219" t="str">
        <f t="shared" si="645"/>
        <v>00:00</v>
      </c>
      <c r="Y1095" s="96">
        <v>0</v>
      </c>
      <c r="Z1095" s="96">
        <v>59</v>
      </c>
      <c r="AA1095" s="96">
        <f t="shared" si="624"/>
        <v>59</v>
      </c>
      <c r="AB1095" s="97">
        <f t="shared" si="625"/>
        <v>0</v>
      </c>
      <c r="AC1095" s="97">
        <f t="shared" si="626"/>
        <v>4104.3100000000004</v>
      </c>
      <c r="AD1095" s="98">
        <v>4104.3100000000004</v>
      </c>
      <c r="AE1095" s="98">
        <v>4100.3999999999996</v>
      </c>
      <c r="AF1095" s="98">
        <v>4109.2</v>
      </c>
      <c r="AG1095" s="98">
        <f t="shared" si="627"/>
        <v>4.8899999999994179</v>
      </c>
      <c r="AH1095" s="99">
        <v>672.5</v>
      </c>
      <c r="AI1095" s="100">
        <f t="shared" si="628"/>
        <v>2763437</v>
      </c>
      <c r="AJ1095" s="100">
        <f>(13.8*AH1095)*3</f>
        <v>27841.5</v>
      </c>
      <c r="AK1095" s="100">
        <v>0</v>
      </c>
      <c r="AL1095" s="100">
        <v>0</v>
      </c>
      <c r="AM1095" s="100">
        <v>0</v>
      </c>
      <c r="AN1095" s="100">
        <v>0</v>
      </c>
      <c r="AO1095" s="100">
        <v>0</v>
      </c>
      <c r="AP1095" s="100">
        <f t="shared" si="643"/>
        <v>139564</v>
      </c>
      <c r="AQ1095" s="101">
        <f t="shared" si="641"/>
        <v>2930843</v>
      </c>
      <c r="AR1095" s="101">
        <v>0</v>
      </c>
      <c r="AS1095" s="101">
        <v>0</v>
      </c>
      <c r="AT1095" s="102" t="s">
        <v>33</v>
      </c>
      <c r="AU1095" s="109" t="s">
        <v>118</v>
      </c>
      <c r="AV1095" s="100">
        <v>0</v>
      </c>
      <c r="AW1095" s="105">
        <v>0</v>
      </c>
      <c r="AX1095" s="216">
        <f t="shared" si="646"/>
        <v>0.1190012654531154</v>
      </c>
      <c r="AY1095" s="217">
        <f t="shared" si="647"/>
        <v>3289</v>
      </c>
      <c r="AZ1095" s="107"/>
      <c r="BA1095" s="94">
        <v>45697.739583333336</v>
      </c>
      <c r="BB1095" s="94">
        <v>45697.75</v>
      </c>
      <c r="BC1095" s="94">
        <v>45697.75</v>
      </c>
      <c r="BD1095" s="94">
        <v>45697.87222222222</v>
      </c>
      <c r="BE1095" s="95">
        <f t="shared" si="648"/>
        <v>0.132638888884685</v>
      </c>
      <c r="BF1095" s="95">
        <v>4.8611111111111112E-3</v>
      </c>
      <c r="BG1095" s="95">
        <v>1.3888888888888889E-3</v>
      </c>
      <c r="BH1095" s="95">
        <f t="shared" si="649"/>
        <v>1.0416666664241347E-2</v>
      </c>
      <c r="BI1095" s="95">
        <f t="shared" si="649"/>
        <v>0</v>
      </c>
      <c r="BJ1095" s="95">
        <f t="shared" si="649"/>
        <v>0.12222222222044365</v>
      </c>
      <c r="BK1095" s="95">
        <f t="shared" si="650"/>
        <v>0.12222222222044365</v>
      </c>
      <c r="BL1095" s="95">
        <f t="shared" si="651"/>
        <v>0.11597222222044366</v>
      </c>
      <c r="BM1095" s="95" t="str">
        <f t="shared" si="652"/>
        <v>00:00</v>
      </c>
      <c r="BN1095" s="110"/>
    </row>
    <row r="1096" spans="1:66" s="8" customFormat="1" ht="12.75" customHeight="1" x14ac:dyDescent="0.25">
      <c r="A1096" s="150">
        <v>1010</v>
      </c>
      <c r="B1096" s="150">
        <v>29</v>
      </c>
      <c r="C1096" s="90">
        <v>13</v>
      </c>
      <c r="D1096" s="111" t="s">
        <v>148</v>
      </c>
      <c r="E1096" s="210" t="s">
        <v>1087</v>
      </c>
      <c r="F1096" s="150" t="s">
        <v>16</v>
      </c>
      <c r="G1096" s="150" t="s">
        <v>17</v>
      </c>
      <c r="H1096" s="150" t="s">
        <v>150</v>
      </c>
      <c r="I1096" s="150" t="s">
        <v>677</v>
      </c>
      <c r="J1096" s="151">
        <v>45696</v>
      </c>
      <c r="K1096" s="135" t="s">
        <v>122</v>
      </c>
      <c r="L1096" s="135">
        <v>461000742</v>
      </c>
      <c r="M1096" s="151">
        <v>45698</v>
      </c>
      <c r="N1096" s="152">
        <v>45697.9375</v>
      </c>
      <c r="O1096" s="152">
        <v>45697.9375</v>
      </c>
      <c r="P1096" s="152">
        <v>45697.944444444445</v>
      </c>
      <c r="Q1096" s="152">
        <v>45698.125</v>
      </c>
      <c r="R1096" s="152" t="s">
        <v>118</v>
      </c>
      <c r="S1096" s="152" t="s">
        <v>118</v>
      </c>
      <c r="T1096" s="152">
        <v>45698.152777777781</v>
      </c>
      <c r="U1096" s="152">
        <v>45698.253472222219</v>
      </c>
      <c r="V1096" s="219">
        <f t="shared" si="644"/>
        <v>0.1875</v>
      </c>
      <c r="W1096" s="203">
        <v>0.20833333333333334</v>
      </c>
      <c r="X1096" s="219" t="str">
        <f t="shared" si="645"/>
        <v>00:00</v>
      </c>
      <c r="Y1096" s="96">
        <v>0</v>
      </c>
      <c r="Z1096" s="96">
        <v>58</v>
      </c>
      <c r="AA1096" s="96">
        <f t="shared" si="624"/>
        <v>58</v>
      </c>
      <c r="AB1096" s="97">
        <f t="shared" si="625"/>
        <v>0</v>
      </c>
      <c r="AC1096" s="97">
        <f t="shared" si="626"/>
        <v>3908.87</v>
      </c>
      <c r="AD1096" s="98">
        <v>3908.87</v>
      </c>
      <c r="AE1096" s="98">
        <v>4020.4</v>
      </c>
      <c r="AF1096" s="98">
        <v>4021.8</v>
      </c>
      <c r="AG1096" s="98">
        <f t="shared" si="627"/>
        <v>112.93000000000029</v>
      </c>
      <c r="AH1096" s="99">
        <v>672.5</v>
      </c>
      <c r="AI1096" s="100">
        <f t="shared" si="628"/>
        <v>2704660.5</v>
      </c>
      <c r="AJ1096" s="100">
        <f>(0*AH1096)*2</f>
        <v>0</v>
      </c>
      <c r="AK1096" s="100">
        <v>0</v>
      </c>
      <c r="AL1096" s="100">
        <v>0</v>
      </c>
      <c r="AM1096" s="100">
        <v>0</v>
      </c>
      <c r="AN1096" s="100">
        <v>0</v>
      </c>
      <c r="AO1096" s="100">
        <v>0</v>
      </c>
      <c r="AP1096" s="100">
        <f t="shared" si="643"/>
        <v>135234</v>
      </c>
      <c r="AQ1096" s="101">
        <f t="shared" si="641"/>
        <v>2839895</v>
      </c>
      <c r="AR1096" s="101">
        <v>0</v>
      </c>
      <c r="AS1096" s="101">
        <v>0</v>
      </c>
      <c r="AT1096" s="102" t="s">
        <v>33</v>
      </c>
      <c r="AU1096" s="109" t="s">
        <v>118</v>
      </c>
      <c r="AV1096" s="100">
        <v>0</v>
      </c>
      <c r="AW1096" s="105">
        <v>0</v>
      </c>
      <c r="AX1096" s="216">
        <f t="shared" si="646"/>
        <v>2.8079466905365829</v>
      </c>
      <c r="AY1096" s="217">
        <f t="shared" si="647"/>
        <v>75946</v>
      </c>
      <c r="AZ1096" s="107"/>
      <c r="BA1096" s="94">
        <v>45697.9375</v>
      </c>
      <c r="BB1096" s="94">
        <v>45697.944444444445</v>
      </c>
      <c r="BC1096" s="94">
        <v>45697.944444444445</v>
      </c>
      <c r="BD1096" s="94">
        <v>45698.076388888891</v>
      </c>
      <c r="BE1096" s="95">
        <f t="shared" si="648"/>
        <v>0.13888888889050577</v>
      </c>
      <c r="BF1096" s="95">
        <v>0</v>
      </c>
      <c r="BG1096" s="95">
        <v>0</v>
      </c>
      <c r="BH1096" s="95">
        <f t="shared" si="649"/>
        <v>6.9444444452528842E-3</v>
      </c>
      <c r="BI1096" s="95">
        <f t="shared" si="649"/>
        <v>0</v>
      </c>
      <c r="BJ1096" s="95">
        <f t="shared" si="649"/>
        <v>0.13194444444525288</v>
      </c>
      <c r="BK1096" s="95">
        <f t="shared" si="650"/>
        <v>0.13194444444525288</v>
      </c>
      <c r="BL1096" s="95">
        <f t="shared" si="651"/>
        <v>0.13194444444525288</v>
      </c>
      <c r="BM1096" s="95" t="str">
        <f t="shared" si="652"/>
        <v>00:00</v>
      </c>
      <c r="BN1096" s="110"/>
    </row>
    <row r="1097" spans="1:66" s="8" customFormat="1" ht="12.75" customHeight="1" x14ac:dyDescent="0.25">
      <c r="A1097" s="150">
        <v>1011</v>
      </c>
      <c r="B1097" s="150">
        <v>30</v>
      </c>
      <c r="C1097" s="90">
        <v>14</v>
      </c>
      <c r="D1097" s="111" t="s">
        <v>148</v>
      </c>
      <c r="E1097" s="210" t="s">
        <v>1087</v>
      </c>
      <c r="F1097" s="150" t="s">
        <v>16</v>
      </c>
      <c r="G1097" s="150" t="s">
        <v>17</v>
      </c>
      <c r="H1097" s="150" t="s">
        <v>150</v>
      </c>
      <c r="I1097" s="150" t="s">
        <v>679</v>
      </c>
      <c r="J1097" s="151">
        <v>45696</v>
      </c>
      <c r="K1097" s="135" t="s">
        <v>117</v>
      </c>
      <c r="L1097" s="135">
        <v>461000743</v>
      </c>
      <c r="M1097" s="151">
        <v>45698</v>
      </c>
      <c r="N1097" s="152">
        <v>45698.177083333336</v>
      </c>
      <c r="O1097" s="152">
        <v>45698.177083333336</v>
      </c>
      <c r="P1097" s="152">
        <v>45698.184027777781</v>
      </c>
      <c r="Q1097" s="152">
        <v>45698.34375</v>
      </c>
      <c r="R1097" s="152" t="s">
        <v>118</v>
      </c>
      <c r="S1097" s="152" t="s">
        <v>118</v>
      </c>
      <c r="T1097" s="152">
        <v>45698.395833333336</v>
      </c>
      <c r="U1097" s="152">
        <v>45698.46597222222</v>
      </c>
      <c r="V1097" s="219">
        <f t="shared" si="644"/>
        <v>0.16666666666424135</v>
      </c>
      <c r="W1097" s="203">
        <v>0.20833333333333334</v>
      </c>
      <c r="X1097" s="219" t="str">
        <f t="shared" si="645"/>
        <v>00:00</v>
      </c>
      <c r="Y1097" s="96">
        <v>0</v>
      </c>
      <c r="Z1097" s="96">
        <v>59</v>
      </c>
      <c r="AA1097" s="96">
        <f t="shared" si="624"/>
        <v>59</v>
      </c>
      <c r="AB1097" s="97">
        <f t="shared" si="625"/>
        <v>0</v>
      </c>
      <c r="AC1097" s="97">
        <f t="shared" si="626"/>
        <v>4065.5299999999997</v>
      </c>
      <c r="AD1097" s="98">
        <v>4065.53</v>
      </c>
      <c r="AE1097" s="98">
        <v>4102.6000000000004</v>
      </c>
      <c r="AF1097" s="98">
        <v>4111</v>
      </c>
      <c r="AG1097" s="98">
        <f t="shared" si="627"/>
        <v>45.4699999999998</v>
      </c>
      <c r="AH1097" s="99">
        <v>672.5</v>
      </c>
      <c r="AI1097" s="100">
        <f t="shared" si="628"/>
        <v>2764647.5</v>
      </c>
      <c r="AJ1097" s="100">
        <f>(1*AH1097)*2</f>
        <v>1345</v>
      </c>
      <c r="AK1097" s="100">
        <v>0</v>
      </c>
      <c r="AL1097" s="100">
        <v>0</v>
      </c>
      <c r="AM1097" s="100">
        <v>0</v>
      </c>
      <c r="AN1097" s="100">
        <v>0</v>
      </c>
      <c r="AO1097" s="100">
        <v>0</v>
      </c>
      <c r="AP1097" s="100">
        <f t="shared" si="643"/>
        <v>138300</v>
      </c>
      <c r="AQ1097" s="101">
        <f t="shared" si="641"/>
        <v>2904293</v>
      </c>
      <c r="AR1097" s="101">
        <v>0</v>
      </c>
      <c r="AS1097" s="101">
        <v>0</v>
      </c>
      <c r="AT1097" s="102" t="s">
        <v>33</v>
      </c>
      <c r="AU1097" s="109" t="s">
        <v>118</v>
      </c>
      <c r="AV1097" s="100">
        <v>0</v>
      </c>
      <c r="AW1097" s="105">
        <v>0</v>
      </c>
      <c r="AX1097" s="216">
        <f t="shared" si="646"/>
        <v>1.106056920457305</v>
      </c>
      <c r="AY1097" s="217">
        <f t="shared" si="647"/>
        <v>30579</v>
      </c>
      <c r="AZ1097" s="107"/>
      <c r="BA1097" s="94">
        <v>45698.177083333336</v>
      </c>
      <c r="BB1097" s="94">
        <v>45698.184027777781</v>
      </c>
      <c r="BC1097" s="94">
        <v>45698.184027777781</v>
      </c>
      <c r="BD1097" s="94">
        <v>45698.308333333334</v>
      </c>
      <c r="BE1097" s="95">
        <f t="shared" si="648"/>
        <v>0.13124999999854481</v>
      </c>
      <c r="BF1097" s="95">
        <v>0</v>
      </c>
      <c r="BG1097" s="95">
        <v>0</v>
      </c>
      <c r="BH1097" s="95">
        <f t="shared" si="649"/>
        <v>6.9444444452528842E-3</v>
      </c>
      <c r="BI1097" s="95">
        <f t="shared" si="649"/>
        <v>0</v>
      </c>
      <c r="BJ1097" s="95">
        <f t="shared" si="649"/>
        <v>0.12430555555329192</v>
      </c>
      <c r="BK1097" s="95">
        <f t="shared" si="650"/>
        <v>0.12430555555329192</v>
      </c>
      <c r="BL1097" s="95">
        <f t="shared" si="651"/>
        <v>0.12430555555329192</v>
      </c>
      <c r="BM1097" s="95" t="str">
        <f t="shared" si="652"/>
        <v>00:00</v>
      </c>
      <c r="BN1097" s="110"/>
    </row>
    <row r="1098" spans="1:66" s="8" customFormat="1" ht="12.75" customHeight="1" x14ac:dyDescent="0.25">
      <c r="A1098" s="150">
        <v>1012</v>
      </c>
      <c r="B1098" s="150">
        <v>31</v>
      </c>
      <c r="C1098" s="90">
        <v>15</v>
      </c>
      <c r="D1098" s="111" t="s">
        <v>148</v>
      </c>
      <c r="E1098" s="210" t="s">
        <v>1087</v>
      </c>
      <c r="F1098" s="150" t="s">
        <v>16</v>
      </c>
      <c r="G1098" s="150" t="s">
        <v>17</v>
      </c>
      <c r="H1098" s="150" t="s">
        <v>150</v>
      </c>
      <c r="I1098" s="150" t="s">
        <v>684</v>
      </c>
      <c r="J1098" s="151">
        <v>45698</v>
      </c>
      <c r="K1098" s="135" t="s">
        <v>122</v>
      </c>
      <c r="L1098" s="135">
        <v>461000744</v>
      </c>
      <c r="M1098" s="151">
        <v>45698</v>
      </c>
      <c r="N1098" s="152">
        <v>45698.340277777781</v>
      </c>
      <c r="O1098" s="152">
        <v>45698.340277777781</v>
      </c>
      <c r="P1098" s="152">
        <v>45698.354166666664</v>
      </c>
      <c r="Q1098" s="152">
        <v>45698.510416666664</v>
      </c>
      <c r="R1098" s="152" t="s">
        <v>118</v>
      </c>
      <c r="S1098" s="152" t="s">
        <v>118</v>
      </c>
      <c r="T1098" s="152">
        <v>45698.614583333336</v>
      </c>
      <c r="U1098" s="152">
        <v>45698.743055555555</v>
      </c>
      <c r="V1098" s="219">
        <f t="shared" si="644"/>
        <v>0.17013888888322981</v>
      </c>
      <c r="W1098" s="203">
        <v>0.20833333333333334</v>
      </c>
      <c r="X1098" s="219" t="str">
        <f t="shared" si="645"/>
        <v>00:00</v>
      </c>
      <c r="Y1098" s="96">
        <v>0</v>
      </c>
      <c r="Z1098" s="96">
        <v>59</v>
      </c>
      <c r="AA1098" s="96">
        <f t="shared" si="624"/>
        <v>59</v>
      </c>
      <c r="AB1098" s="97">
        <f t="shared" si="625"/>
        <v>0</v>
      </c>
      <c r="AC1098" s="97">
        <f t="shared" si="626"/>
        <v>4076.41</v>
      </c>
      <c r="AD1098" s="98">
        <v>4076.41</v>
      </c>
      <c r="AE1098" s="98">
        <v>4101</v>
      </c>
      <c r="AF1098" s="98">
        <v>4115.2</v>
      </c>
      <c r="AG1098" s="98">
        <f t="shared" si="627"/>
        <v>38.789999999999964</v>
      </c>
      <c r="AH1098" s="99">
        <v>672.5</v>
      </c>
      <c r="AI1098" s="100">
        <f t="shared" si="628"/>
        <v>2767472</v>
      </c>
      <c r="AJ1098" s="100">
        <f>(0*AH1098)*2</f>
        <v>0</v>
      </c>
      <c r="AK1098" s="100">
        <v>0</v>
      </c>
      <c r="AL1098" s="100">
        <v>24290</v>
      </c>
      <c r="AM1098" s="100">
        <v>0</v>
      </c>
      <c r="AN1098" s="100">
        <v>0</v>
      </c>
      <c r="AO1098" s="100">
        <v>0</v>
      </c>
      <c r="AP1098" s="100">
        <f t="shared" si="643"/>
        <v>139589</v>
      </c>
      <c r="AQ1098" s="101">
        <f t="shared" si="641"/>
        <v>2931351</v>
      </c>
      <c r="AR1098" s="101">
        <v>0</v>
      </c>
      <c r="AS1098" s="101">
        <v>0</v>
      </c>
      <c r="AT1098" s="102" t="s">
        <v>33</v>
      </c>
      <c r="AU1098" s="109">
        <v>4</v>
      </c>
      <c r="AV1098" s="100">
        <f>15.68-13.18</f>
        <v>2.5</v>
      </c>
      <c r="AW1098" s="105">
        <v>0</v>
      </c>
      <c r="AX1098" s="216">
        <f t="shared" si="646"/>
        <v>0.94260303265940815</v>
      </c>
      <c r="AY1098" s="217">
        <f t="shared" si="647"/>
        <v>26087</v>
      </c>
      <c r="AZ1098" s="107"/>
      <c r="BA1098" s="94">
        <v>45698.340277777781</v>
      </c>
      <c r="BB1098" s="94">
        <v>45698.354166666664</v>
      </c>
      <c r="BC1098" s="94">
        <v>45698.354166666664</v>
      </c>
      <c r="BD1098" s="94">
        <v>45698.496527777781</v>
      </c>
      <c r="BE1098" s="95">
        <f t="shared" si="648"/>
        <v>0.15625</v>
      </c>
      <c r="BF1098" s="95">
        <v>0</v>
      </c>
      <c r="BG1098" s="95">
        <v>1.7361111111111112E-2</v>
      </c>
      <c r="BH1098" s="95">
        <f t="shared" si="649"/>
        <v>1.3888888883229811E-2</v>
      </c>
      <c r="BI1098" s="95">
        <f t="shared" si="649"/>
        <v>0</v>
      </c>
      <c r="BJ1098" s="95">
        <f t="shared" si="649"/>
        <v>0.14236111111677019</v>
      </c>
      <c r="BK1098" s="95">
        <f t="shared" si="650"/>
        <v>0.14236111111677019</v>
      </c>
      <c r="BL1098" s="95">
        <f t="shared" si="651"/>
        <v>0.12500000000565908</v>
      </c>
      <c r="BM1098" s="95" t="str">
        <f t="shared" si="652"/>
        <v>00:00</v>
      </c>
      <c r="BN1098" s="110"/>
    </row>
    <row r="1099" spans="1:66" s="8" customFormat="1" ht="12.75" customHeight="1" x14ac:dyDescent="0.25">
      <c r="A1099" s="150">
        <v>1013</v>
      </c>
      <c r="B1099" s="150">
        <v>32</v>
      </c>
      <c r="C1099" s="90">
        <v>16</v>
      </c>
      <c r="D1099" s="111" t="s">
        <v>148</v>
      </c>
      <c r="E1099" s="210" t="s">
        <v>1087</v>
      </c>
      <c r="F1099" s="150" t="s">
        <v>16</v>
      </c>
      <c r="G1099" s="150" t="s">
        <v>17</v>
      </c>
      <c r="H1099" s="150" t="s">
        <v>150</v>
      </c>
      <c r="I1099" s="150" t="s">
        <v>685</v>
      </c>
      <c r="J1099" s="151">
        <v>45698</v>
      </c>
      <c r="K1099" s="135" t="s">
        <v>117</v>
      </c>
      <c r="L1099" s="135">
        <v>461000745</v>
      </c>
      <c r="M1099" s="151">
        <v>45698</v>
      </c>
      <c r="N1099" s="152">
        <v>45698.604166666664</v>
      </c>
      <c r="O1099" s="152">
        <v>45698.604166666664</v>
      </c>
      <c r="P1099" s="152">
        <v>45698.607638888891</v>
      </c>
      <c r="Q1099" s="152">
        <v>45698.770833333336</v>
      </c>
      <c r="R1099" s="152" t="s">
        <v>118</v>
      </c>
      <c r="S1099" s="152" t="s">
        <v>118</v>
      </c>
      <c r="T1099" s="152">
        <v>45698.791666666664</v>
      </c>
      <c r="U1099" s="152">
        <v>45698.913194444445</v>
      </c>
      <c r="V1099" s="219">
        <f t="shared" si="644"/>
        <v>0.16666666667151731</v>
      </c>
      <c r="W1099" s="203">
        <v>0.20833333333333334</v>
      </c>
      <c r="X1099" s="219" t="str">
        <f t="shared" si="645"/>
        <v>00:00</v>
      </c>
      <c r="Y1099" s="96">
        <v>0</v>
      </c>
      <c r="Z1099" s="96">
        <v>58</v>
      </c>
      <c r="AA1099" s="96">
        <f t="shared" si="624"/>
        <v>58</v>
      </c>
      <c r="AB1099" s="97">
        <f t="shared" si="625"/>
        <v>0</v>
      </c>
      <c r="AC1099" s="97">
        <f t="shared" si="626"/>
        <v>4039.96</v>
      </c>
      <c r="AD1099" s="98">
        <v>4039.96</v>
      </c>
      <c r="AE1099" s="98">
        <v>4035.7</v>
      </c>
      <c r="AF1099" s="98">
        <v>4056</v>
      </c>
      <c r="AG1099" s="98">
        <f t="shared" si="627"/>
        <v>16.039999999999964</v>
      </c>
      <c r="AH1099" s="99">
        <v>672.5</v>
      </c>
      <c r="AI1099" s="100">
        <f t="shared" si="628"/>
        <v>2727660</v>
      </c>
      <c r="AJ1099" s="100">
        <f>(0*AH1099)*2</f>
        <v>0</v>
      </c>
      <c r="AK1099" s="100">
        <v>0</v>
      </c>
      <c r="AL1099" s="100">
        <v>24140</v>
      </c>
      <c r="AM1099" s="100">
        <v>0</v>
      </c>
      <c r="AN1099" s="100">
        <v>0</v>
      </c>
      <c r="AO1099" s="100">
        <v>0</v>
      </c>
      <c r="AP1099" s="100">
        <f t="shared" si="643"/>
        <v>137590</v>
      </c>
      <c r="AQ1099" s="101">
        <f t="shared" si="641"/>
        <v>2889390</v>
      </c>
      <c r="AR1099" s="101">
        <v>0</v>
      </c>
      <c r="AS1099" s="101">
        <v>0</v>
      </c>
      <c r="AT1099" s="102" t="s">
        <v>33</v>
      </c>
      <c r="AU1099" s="109">
        <v>11</v>
      </c>
      <c r="AV1099" s="100">
        <f>23.62-17.62</f>
        <v>6</v>
      </c>
      <c r="AW1099" s="105">
        <v>0</v>
      </c>
      <c r="AX1099" s="216">
        <f t="shared" si="646"/>
        <v>0.39546351084812531</v>
      </c>
      <c r="AY1099" s="217">
        <f t="shared" si="647"/>
        <v>10787</v>
      </c>
      <c r="AZ1099" s="107"/>
      <c r="BA1099" s="94">
        <v>45698.604166666664</v>
      </c>
      <c r="BB1099" s="94">
        <v>45698.607638888891</v>
      </c>
      <c r="BC1099" s="94">
        <v>45698.607638888891</v>
      </c>
      <c r="BD1099" s="94">
        <v>45698.734027777777</v>
      </c>
      <c r="BE1099" s="95">
        <f t="shared" si="648"/>
        <v>0.12986111111240461</v>
      </c>
      <c r="BF1099" s="95">
        <v>9.7222222222222224E-3</v>
      </c>
      <c r="BG1099" s="95">
        <v>0</v>
      </c>
      <c r="BH1099" s="95">
        <f t="shared" si="649"/>
        <v>3.4722222262644209E-3</v>
      </c>
      <c r="BI1099" s="95">
        <f t="shared" si="649"/>
        <v>0</v>
      </c>
      <c r="BJ1099" s="95">
        <f t="shared" si="649"/>
        <v>0.12638888888614019</v>
      </c>
      <c r="BK1099" s="95">
        <f t="shared" si="650"/>
        <v>0.12638888888614019</v>
      </c>
      <c r="BL1099" s="95">
        <f t="shared" si="651"/>
        <v>0.11666666666391798</v>
      </c>
      <c r="BM1099" s="95" t="str">
        <f t="shared" si="652"/>
        <v>00:00</v>
      </c>
      <c r="BN1099" s="110"/>
    </row>
    <row r="1100" spans="1:66" s="8" customFormat="1" ht="12.75" customHeight="1" x14ac:dyDescent="0.25">
      <c r="A1100" s="150">
        <v>1014</v>
      </c>
      <c r="B1100" s="150">
        <v>33</v>
      </c>
      <c r="C1100" s="90">
        <v>17</v>
      </c>
      <c r="D1100" s="111" t="s">
        <v>148</v>
      </c>
      <c r="E1100" s="210" t="s">
        <v>1087</v>
      </c>
      <c r="F1100" s="150" t="s">
        <v>16</v>
      </c>
      <c r="G1100" s="150" t="s">
        <v>17</v>
      </c>
      <c r="H1100" s="150" t="s">
        <v>150</v>
      </c>
      <c r="I1100" s="150" t="s">
        <v>687</v>
      </c>
      <c r="J1100" s="151">
        <v>45698</v>
      </c>
      <c r="K1100" s="135" t="s">
        <v>122</v>
      </c>
      <c r="L1100" s="135">
        <v>461000746</v>
      </c>
      <c r="M1100" s="151">
        <v>45699</v>
      </c>
      <c r="N1100" s="152">
        <v>45698.854166666664</v>
      </c>
      <c r="O1100" s="152">
        <v>45698.854166666664</v>
      </c>
      <c r="P1100" s="152">
        <v>45698.861111111109</v>
      </c>
      <c r="Q1100" s="152">
        <v>45699.041666666664</v>
      </c>
      <c r="R1100" s="152" t="s">
        <v>118</v>
      </c>
      <c r="S1100" s="152" t="s">
        <v>118</v>
      </c>
      <c r="T1100" s="152">
        <v>45699.076388888891</v>
      </c>
      <c r="U1100" s="152">
        <v>45699.165972222225</v>
      </c>
      <c r="V1100" s="219">
        <f t="shared" si="644"/>
        <v>0.1875</v>
      </c>
      <c r="W1100" s="203">
        <v>0.20833333333333334</v>
      </c>
      <c r="X1100" s="219" t="str">
        <f t="shared" si="645"/>
        <v>00:00</v>
      </c>
      <c r="Y1100" s="96">
        <v>0</v>
      </c>
      <c r="Z1100" s="96">
        <v>58</v>
      </c>
      <c r="AA1100" s="96">
        <f t="shared" si="624"/>
        <v>58</v>
      </c>
      <c r="AB1100" s="97">
        <f t="shared" si="625"/>
        <v>0</v>
      </c>
      <c r="AC1100" s="97">
        <f t="shared" si="626"/>
        <v>4007.04</v>
      </c>
      <c r="AD1100" s="98">
        <v>4007.04</v>
      </c>
      <c r="AE1100" s="98">
        <v>4031.8</v>
      </c>
      <c r="AF1100" s="98">
        <v>4046.2</v>
      </c>
      <c r="AG1100" s="98">
        <f t="shared" si="627"/>
        <v>39.159999999999854</v>
      </c>
      <c r="AH1100" s="99">
        <v>672.5</v>
      </c>
      <c r="AI1100" s="100">
        <f t="shared" si="628"/>
        <v>2721069.5</v>
      </c>
      <c r="AJ1100" s="100">
        <f>(2.2*AH1100)*2</f>
        <v>2959.0000000000005</v>
      </c>
      <c r="AK1100" s="100">
        <v>0</v>
      </c>
      <c r="AL1100" s="100">
        <v>0</v>
      </c>
      <c r="AM1100" s="100">
        <v>0</v>
      </c>
      <c r="AN1100" s="100">
        <v>0</v>
      </c>
      <c r="AO1100" s="100">
        <v>0</v>
      </c>
      <c r="AP1100" s="100">
        <f t="shared" si="643"/>
        <v>136202</v>
      </c>
      <c r="AQ1100" s="101">
        <f t="shared" si="641"/>
        <v>2860231</v>
      </c>
      <c r="AR1100" s="101">
        <v>0</v>
      </c>
      <c r="AS1100" s="101">
        <v>0</v>
      </c>
      <c r="AT1100" s="102" t="s">
        <v>33</v>
      </c>
      <c r="AU1100" s="109" t="s">
        <v>118</v>
      </c>
      <c r="AV1100" s="100">
        <v>0</v>
      </c>
      <c r="AW1100" s="105">
        <v>0</v>
      </c>
      <c r="AX1100" s="216">
        <f t="shared" si="646"/>
        <v>0.96782165982897184</v>
      </c>
      <c r="AY1100" s="217">
        <f t="shared" si="647"/>
        <v>26336</v>
      </c>
      <c r="AZ1100" s="107"/>
      <c r="BA1100" s="94">
        <v>45698.854166666664</v>
      </c>
      <c r="BB1100" s="94">
        <v>45698.861111111109</v>
      </c>
      <c r="BC1100" s="94">
        <v>45698.861111111109</v>
      </c>
      <c r="BD1100" s="94">
        <v>45699.020833333336</v>
      </c>
      <c r="BE1100" s="95">
        <f t="shared" si="648"/>
        <v>0.16666666667151731</v>
      </c>
      <c r="BF1100" s="95">
        <v>5.5555555555555558E-3</v>
      </c>
      <c r="BG1100" s="95">
        <v>1.3888888888888889E-3</v>
      </c>
      <c r="BH1100" s="95">
        <f t="shared" si="649"/>
        <v>6.9444444452528842E-3</v>
      </c>
      <c r="BI1100" s="95">
        <f t="shared" si="649"/>
        <v>0</v>
      </c>
      <c r="BJ1100" s="95">
        <f t="shared" si="649"/>
        <v>0.15972222222626442</v>
      </c>
      <c r="BK1100" s="95">
        <f t="shared" si="650"/>
        <v>0.15972222222626442</v>
      </c>
      <c r="BL1100" s="95">
        <f t="shared" si="651"/>
        <v>0.15277777778181997</v>
      </c>
      <c r="BM1100" s="95" t="str">
        <f t="shared" si="652"/>
        <v>00:00</v>
      </c>
      <c r="BN1100" s="110"/>
    </row>
    <row r="1101" spans="1:66" s="8" customFormat="1" ht="12.75" customHeight="1" x14ac:dyDescent="0.25">
      <c r="A1101" s="150">
        <v>1015</v>
      </c>
      <c r="B1101" s="150">
        <v>34</v>
      </c>
      <c r="C1101" s="90">
        <v>18</v>
      </c>
      <c r="D1101" s="111" t="s">
        <v>148</v>
      </c>
      <c r="E1101" s="210" t="s">
        <v>1087</v>
      </c>
      <c r="F1101" s="150" t="s">
        <v>16</v>
      </c>
      <c r="G1101" s="150" t="s">
        <v>17</v>
      </c>
      <c r="H1101" s="150" t="s">
        <v>150</v>
      </c>
      <c r="I1101" s="150" t="s">
        <v>689</v>
      </c>
      <c r="J1101" s="151">
        <v>45698</v>
      </c>
      <c r="K1101" s="135" t="s">
        <v>117</v>
      </c>
      <c r="L1101" s="135">
        <v>461000747</v>
      </c>
      <c r="M1101" s="151">
        <v>45699</v>
      </c>
      <c r="N1101" s="152">
        <v>45699.072916666664</v>
      </c>
      <c r="O1101" s="152">
        <v>45699.072916666664</v>
      </c>
      <c r="P1101" s="152">
        <v>45699.083333333336</v>
      </c>
      <c r="Q1101" s="152">
        <v>45699.270833333336</v>
      </c>
      <c r="R1101" s="152" t="s">
        <v>118</v>
      </c>
      <c r="S1101" s="152" t="s">
        <v>118</v>
      </c>
      <c r="T1101" s="152">
        <v>45699.3125</v>
      </c>
      <c r="U1101" s="152">
        <v>45699.486111111109</v>
      </c>
      <c r="V1101" s="219">
        <f t="shared" si="644"/>
        <v>0.19791666667151731</v>
      </c>
      <c r="W1101" s="203">
        <v>0.20833333333333334</v>
      </c>
      <c r="X1101" s="219" t="str">
        <f t="shared" si="645"/>
        <v>00:00</v>
      </c>
      <c r="Y1101" s="96">
        <v>0</v>
      </c>
      <c r="Z1101" s="96">
        <v>57</v>
      </c>
      <c r="AA1101" s="96">
        <f t="shared" si="624"/>
        <v>57</v>
      </c>
      <c r="AB1101" s="97">
        <f t="shared" si="625"/>
        <v>0</v>
      </c>
      <c r="AC1101" s="97">
        <f t="shared" si="626"/>
        <v>3969.7</v>
      </c>
      <c r="AD1101" s="98">
        <v>3969.7</v>
      </c>
      <c r="AE1101" s="98">
        <v>3967</v>
      </c>
      <c r="AF1101" s="98">
        <v>3999</v>
      </c>
      <c r="AG1101" s="98">
        <f t="shared" si="627"/>
        <v>29.300000000000182</v>
      </c>
      <c r="AH1101" s="99">
        <v>672.5</v>
      </c>
      <c r="AI1101" s="100">
        <f t="shared" si="628"/>
        <v>2689327.5</v>
      </c>
      <c r="AJ1101" s="100">
        <f>(0*AH1101)*2</f>
        <v>0</v>
      </c>
      <c r="AK1101" s="100">
        <v>0</v>
      </c>
      <c r="AL1101" s="100">
        <v>23990</v>
      </c>
      <c r="AM1101" s="100">
        <v>0</v>
      </c>
      <c r="AN1101" s="100">
        <v>0</v>
      </c>
      <c r="AO1101" s="100">
        <v>0</v>
      </c>
      <c r="AP1101" s="100">
        <f t="shared" si="643"/>
        <v>135666</v>
      </c>
      <c r="AQ1101" s="101">
        <f t="shared" si="641"/>
        <v>2848984</v>
      </c>
      <c r="AR1101" s="101">
        <v>0</v>
      </c>
      <c r="AS1101" s="101">
        <v>0</v>
      </c>
      <c r="AT1101" s="102" t="s">
        <v>33</v>
      </c>
      <c r="AU1101" s="109">
        <v>17</v>
      </c>
      <c r="AV1101" s="100">
        <f>41.75-27.75</f>
        <v>14</v>
      </c>
      <c r="AW1101" s="105">
        <v>0</v>
      </c>
      <c r="AX1101" s="216">
        <f t="shared" si="646"/>
        <v>0.73268317079270273</v>
      </c>
      <c r="AY1101" s="217">
        <f t="shared" si="647"/>
        <v>19705</v>
      </c>
      <c r="AZ1101" s="107"/>
      <c r="BA1101" s="94">
        <v>45699.072916666664</v>
      </c>
      <c r="BB1101" s="94">
        <v>45699.083333333336</v>
      </c>
      <c r="BC1101" s="94">
        <v>45699.091666666667</v>
      </c>
      <c r="BD1101" s="94">
        <v>45699.263888888891</v>
      </c>
      <c r="BE1101" s="95">
        <f t="shared" si="648"/>
        <v>0.19097222222626442</v>
      </c>
      <c r="BF1101" s="95">
        <v>6.9444444444444441E-3</v>
      </c>
      <c r="BG1101" s="95">
        <v>1.3888888888888888E-2</v>
      </c>
      <c r="BH1101" s="95">
        <f t="shared" si="649"/>
        <v>1.0416666671517305E-2</v>
      </c>
      <c r="BI1101" s="95">
        <f t="shared" si="649"/>
        <v>8.333333331393078E-3</v>
      </c>
      <c r="BJ1101" s="95">
        <f t="shared" si="649"/>
        <v>0.17222222222335404</v>
      </c>
      <c r="BK1101" s="95">
        <f t="shared" si="650"/>
        <v>0.18055555555474712</v>
      </c>
      <c r="BL1101" s="95">
        <f t="shared" si="651"/>
        <v>0.15972222222141377</v>
      </c>
      <c r="BM1101" s="95" t="str">
        <f t="shared" si="652"/>
        <v>00:00</v>
      </c>
      <c r="BN1101" s="110"/>
    </row>
    <row r="1102" spans="1:66" s="8" customFormat="1" ht="12.75" customHeight="1" x14ac:dyDescent="0.25">
      <c r="A1102" s="150">
        <v>1016</v>
      </c>
      <c r="B1102" s="150">
        <v>35</v>
      </c>
      <c r="C1102" s="90">
        <v>3</v>
      </c>
      <c r="D1102" s="111" t="s">
        <v>113</v>
      </c>
      <c r="E1102" s="210" t="s">
        <v>1066</v>
      </c>
      <c r="F1102" s="150" t="s">
        <v>27</v>
      </c>
      <c r="G1102" s="150" t="s">
        <v>12</v>
      </c>
      <c r="H1102" s="150" t="s">
        <v>115</v>
      </c>
      <c r="I1102" s="150" t="s">
        <v>1093</v>
      </c>
      <c r="J1102" s="151">
        <v>45699</v>
      </c>
      <c r="K1102" s="135" t="s">
        <v>117</v>
      </c>
      <c r="L1102" s="135">
        <v>282001126</v>
      </c>
      <c r="M1102" s="151">
        <v>45700</v>
      </c>
      <c r="N1102" s="152">
        <v>45699.75</v>
      </c>
      <c r="O1102" s="152">
        <v>45699.75</v>
      </c>
      <c r="P1102" s="152">
        <v>45699.753472222219</v>
      </c>
      <c r="Q1102" s="152">
        <v>45699.90625</v>
      </c>
      <c r="R1102" s="152" t="s">
        <v>118</v>
      </c>
      <c r="S1102" s="152" t="s">
        <v>118</v>
      </c>
      <c r="T1102" s="152">
        <v>45699.989583333336</v>
      </c>
      <c r="U1102" s="152">
        <v>45700.120138888888</v>
      </c>
      <c r="V1102" s="219">
        <f t="shared" si="644"/>
        <v>0.15625</v>
      </c>
      <c r="W1102" s="203">
        <v>0.20833333333333334</v>
      </c>
      <c r="X1102" s="219" t="str">
        <f t="shared" si="645"/>
        <v>00:00</v>
      </c>
      <c r="Y1102" s="96">
        <v>0</v>
      </c>
      <c r="Z1102" s="96">
        <v>58</v>
      </c>
      <c r="AA1102" s="96">
        <f t="shared" si="624"/>
        <v>58</v>
      </c>
      <c r="AB1102" s="97">
        <f t="shared" si="625"/>
        <v>0</v>
      </c>
      <c r="AC1102" s="97">
        <f t="shared" si="626"/>
        <v>3915.25</v>
      </c>
      <c r="AD1102" s="98">
        <v>3915.25</v>
      </c>
      <c r="AE1102" s="98">
        <v>4028.2</v>
      </c>
      <c r="AF1102" s="98">
        <v>4032</v>
      </c>
      <c r="AG1102" s="98">
        <f t="shared" si="627"/>
        <v>116.75</v>
      </c>
      <c r="AH1102" s="99">
        <v>1586.7</v>
      </c>
      <c r="AI1102" s="100">
        <f t="shared" si="628"/>
        <v>6397574.4000000004</v>
      </c>
      <c r="AJ1102" s="100">
        <f>(0.6*AH1102)*2</f>
        <v>1904.04</v>
      </c>
      <c r="AK1102" s="100">
        <v>0</v>
      </c>
      <c r="AL1102" s="100">
        <v>0</v>
      </c>
      <c r="AM1102" s="100">
        <v>0</v>
      </c>
      <c r="AN1102" s="100">
        <v>0</v>
      </c>
      <c r="AO1102" s="100">
        <f>IFERROR(AF1102*20+(((AJ1102/AH1102)/2)*20),0)</f>
        <v>80652</v>
      </c>
      <c r="AP1102" s="100">
        <f t="shared" si="643"/>
        <v>324007</v>
      </c>
      <c r="AQ1102" s="101">
        <f t="shared" si="641"/>
        <v>6804138</v>
      </c>
      <c r="AR1102" s="101">
        <v>0</v>
      </c>
      <c r="AS1102" s="101">
        <v>0</v>
      </c>
      <c r="AT1102" s="102" t="s">
        <v>33</v>
      </c>
      <c r="AU1102" s="109" t="s">
        <v>118</v>
      </c>
      <c r="AV1102" s="100">
        <v>0</v>
      </c>
      <c r="AW1102" s="105">
        <v>0</v>
      </c>
      <c r="AX1102" s="216">
        <f t="shared" si="646"/>
        <v>2.8955853174603177</v>
      </c>
      <c r="AY1102" s="217">
        <f t="shared" si="647"/>
        <v>185248</v>
      </c>
      <c r="AZ1102" s="107"/>
      <c r="BA1102" s="94">
        <v>45699.75</v>
      </c>
      <c r="BB1102" s="94">
        <v>45699.753472222219</v>
      </c>
      <c r="BC1102" s="94">
        <v>45699.753472222219</v>
      </c>
      <c r="BD1102" s="94">
        <v>45699.874305555553</v>
      </c>
      <c r="BE1102" s="95">
        <f t="shared" si="648"/>
        <v>0.12430555555329192</v>
      </c>
      <c r="BF1102" s="95">
        <v>0</v>
      </c>
      <c r="BG1102" s="95">
        <v>0</v>
      </c>
      <c r="BH1102" s="95">
        <f t="shared" si="649"/>
        <v>3.4722222189884633E-3</v>
      </c>
      <c r="BI1102" s="95">
        <f t="shared" si="649"/>
        <v>0</v>
      </c>
      <c r="BJ1102" s="95">
        <f t="shared" si="649"/>
        <v>0.12083333333430346</v>
      </c>
      <c r="BK1102" s="95">
        <f t="shared" si="650"/>
        <v>0.12083333333430346</v>
      </c>
      <c r="BL1102" s="95">
        <f t="shared" si="651"/>
        <v>0.12083333333430346</v>
      </c>
      <c r="BM1102" s="95" t="str">
        <f t="shared" si="652"/>
        <v>00:00</v>
      </c>
      <c r="BN1102" s="110"/>
    </row>
    <row r="1103" spans="1:66" s="8" customFormat="1" ht="12.75" customHeight="1" x14ac:dyDescent="0.25">
      <c r="A1103" s="150">
        <v>1017</v>
      </c>
      <c r="B1103" s="150">
        <v>36</v>
      </c>
      <c r="C1103" s="90">
        <v>19</v>
      </c>
      <c r="D1103" s="111" t="s">
        <v>148</v>
      </c>
      <c r="E1103" s="210" t="s">
        <v>1087</v>
      </c>
      <c r="F1103" s="150" t="s">
        <v>16</v>
      </c>
      <c r="G1103" s="150" t="s">
        <v>17</v>
      </c>
      <c r="H1103" s="150" t="s">
        <v>150</v>
      </c>
      <c r="I1103" s="150" t="s">
        <v>690</v>
      </c>
      <c r="J1103" s="151">
        <v>45699</v>
      </c>
      <c r="K1103" s="135" t="s">
        <v>122</v>
      </c>
      <c r="L1103" s="135">
        <v>461000748</v>
      </c>
      <c r="M1103" s="151">
        <v>45700</v>
      </c>
      <c r="N1103" s="152">
        <v>45700.09375</v>
      </c>
      <c r="O1103" s="152">
        <v>45700.09375</v>
      </c>
      <c r="P1103" s="152">
        <v>45700.097222222219</v>
      </c>
      <c r="Q1103" s="152">
        <v>45700.270833333336</v>
      </c>
      <c r="R1103" s="152" t="s">
        <v>118</v>
      </c>
      <c r="S1103" s="152" t="s">
        <v>118</v>
      </c>
      <c r="T1103" s="152">
        <v>45700.291666666664</v>
      </c>
      <c r="U1103" s="152">
        <v>45700.375</v>
      </c>
      <c r="V1103" s="219">
        <f t="shared" si="644"/>
        <v>0.17708333333575865</v>
      </c>
      <c r="W1103" s="203">
        <v>0.20833333333333334</v>
      </c>
      <c r="X1103" s="219" t="str">
        <f t="shared" si="645"/>
        <v>00:00</v>
      </c>
      <c r="Y1103" s="96">
        <v>0</v>
      </c>
      <c r="Z1103" s="96">
        <v>58</v>
      </c>
      <c r="AA1103" s="96">
        <f t="shared" si="624"/>
        <v>58</v>
      </c>
      <c r="AB1103" s="97">
        <f t="shared" si="625"/>
        <v>0</v>
      </c>
      <c r="AC1103" s="97">
        <f t="shared" si="626"/>
        <v>4062.6900000000005</v>
      </c>
      <c r="AD1103" s="98">
        <v>4062.69</v>
      </c>
      <c r="AE1103" s="98">
        <v>4043</v>
      </c>
      <c r="AF1103" s="98">
        <v>4078.8</v>
      </c>
      <c r="AG1103" s="98">
        <f t="shared" si="627"/>
        <v>16.110000000000127</v>
      </c>
      <c r="AH1103" s="99">
        <v>672.5</v>
      </c>
      <c r="AI1103" s="100">
        <f t="shared" si="628"/>
        <v>2742993</v>
      </c>
      <c r="AJ1103" s="100">
        <f>(0*AH1103)*2</f>
        <v>0</v>
      </c>
      <c r="AK1103" s="100">
        <v>0</v>
      </c>
      <c r="AL1103" s="100">
        <v>24140</v>
      </c>
      <c r="AM1103" s="100">
        <v>0</v>
      </c>
      <c r="AN1103" s="100">
        <v>0</v>
      </c>
      <c r="AO1103" s="100">
        <v>0</v>
      </c>
      <c r="AP1103" s="100">
        <f t="shared" si="643"/>
        <v>138357</v>
      </c>
      <c r="AQ1103" s="101">
        <f t="shared" si="641"/>
        <v>2905490</v>
      </c>
      <c r="AR1103" s="101">
        <v>0</v>
      </c>
      <c r="AS1103" s="101">
        <v>0</v>
      </c>
      <c r="AT1103" s="102" t="s">
        <v>33</v>
      </c>
      <c r="AU1103" s="109">
        <v>23</v>
      </c>
      <c r="AV1103" s="100">
        <f>45.15-30.15</f>
        <v>15</v>
      </c>
      <c r="AW1103" s="105">
        <v>0</v>
      </c>
      <c r="AX1103" s="216">
        <f t="shared" si="646"/>
        <v>0.39496910856134471</v>
      </c>
      <c r="AY1103" s="217">
        <f t="shared" si="647"/>
        <v>10834</v>
      </c>
      <c r="AZ1103" s="107"/>
      <c r="BA1103" s="94">
        <v>45700.09375</v>
      </c>
      <c r="BB1103" s="94">
        <v>45700.097222222219</v>
      </c>
      <c r="BC1103" s="94">
        <v>45700.097222222219</v>
      </c>
      <c r="BD1103" s="94">
        <v>45700.225694444445</v>
      </c>
      <c r="BE1103" s="95">
        <f t="shared" si="648"/>
        <v>0.13194444444525288</v>
      </c>
      <c r="BF1103" s="95">
        <v>0</v>
      </c>
      <c r="BG1103" s="95">
        <v>1.0416666666666666E-2</v>
      </c>
      <c r="BH1103" s="95">
        <f t="shared" si="649"/>
        <v>3.4722222189884633E-3</v>
      </c>
      <c r="BI1103" s="95">
        <f t="shared" si="649"/>
        <v>0</v>
      </c>
      <c r="BJ1103" s="95">
        <f t="shared" si="649"/>
        <v>0.12847222222626442</v>
      </c>
      <c r="BK1103" s="95">
        <f t="shared" si="650"/>
        <v>0.12847222222626442</v>
      </c>
      <c r="BL1103" s="95">
        <f t="shared" si="651"/>
        <v>0.11805555555959775</v>
      </c>
      <c r="BM1103" s="95" t="str">
        <f t="shared" si="652"/>
        <v>00:00</v>
      </c>
      <c r="BN1103" s="110"/>
    </row>
    <row r="1104" spans="1:66" s="8" customFormat="1" ht="12.75" customHeight="1" x14ac:dyDescent="0.25">
      <c r="A1104" s="115">
        <v>1018</v>
      </c>
      <c r="B1104" s="115">
        <v>37</v>
      </c>
      <c r="C1104" s="90">
        <v>20</v>
      </c>
      <c r="D1104" s="115" t="s">
        <v>148</v>
      </c>
      <c r="E1104" s="210" t="s">
        <v>1087</v>
      </c>
      <c r="F1104" s="115" t="s">
        <v>16</v>
      </c>
      <c r="G1104" s="115" t="s">
        <v>17</v>
      </c>
      <c r="H1104" s="115" t="s">
        <v>150</v>
      </c>
      <c r="I1104" s="115" t="s">
        <v>693</v>
      </c>
      <c r="J1104" s="117">
        <v>45701</v>
      </c>
      <c r="K1104" s="116" t="s">
        <v>122</v>
      </c>
      <c r="L1104" s="116">
        <v>461000749</v>
      </c>
      <c r="M1104" s="117">
        <v>45701</v>
      </c>
      <c r="N1104" s="118">
        <v>45701.451388888891</v>
      </c>
      <c r="O1104" s="118">
        <v>45701.451388888891</v>
      </c>
      <c r="P1104" s="118">
        <v>45701.465277777781</v>
      </c>
      <c r="Q1104" s="118">
        <v>45701.614583333336</v>
      </c>
      <c r="R1104" s="118" t="s">
        <v>118</v>
      </c>
      <c r="S1104" s="118" t="s">
        <v>118</v>
      </c>
      <c r="T1104" s="118">
        <v>45701.625</v>
      </c>
      <c r="U1104" s="118">
        <v>45701.763888888891</v>
      </c>
      <c r="V1104" s="119">
        <f t="shared" si="644"/>
        <v>0.16319444444525288</v>
      </c>
      <c r="W1104" s="185">
        <v>0.20833333333333334</v>
      </c>
      <c r="X1104" s="119" t="str">
        <f t="shared" si="645"/>
        <v>00:00</v>
      </c>
      <c r="Y1104" s="96">
        <v>0</v>
      </c>
      <c r="Z1104" s="96">
        <v>47</v>
      </c>
      <c r="AA1104" s="96">
        <f t="shared" si="624"/>
        <v>47</v>
      </c>
      <c r="AB1104" s="97">
        <f t="shared" si="625"/>
        <v>0</v>
      </c>
      <c r="AC1104" s="97">
        <f t="shared" si="626"/>
        <v>3271.1700000000005</v>
      </c>
      <c r="AD1104" s="98">
        <f>4046.34-775.17</f>
        <v>3271.17</v>
      </c>
      <c r="AE1104" s="98">
        <f>4031.8-758.8</f>
        <v>3273</v>
      </c>
      <c r="AF1104" s="98">
        <f>4062.4-775.17</f>
        <v>3287.23</v>
      </c>
      <c r="AG1104" s="98">
        <f t="shared" si="627"/>
        <v>16.059999999999945</v>
      </c>
      <c r="AH1104" s="99">
        <v>672.5</v>
      </c>
      <c r="AI1104" s="100">
        <f t="shared" si="628"/>
        <v>2210662.1749999998</v>
      </c>
      <c r="AJ1104" s="100">
        <f>(0*AH1104)*2</f>
        <v>0</v>
      </c>
      <c r="AK1104" s="100">
        <v>0</v>
      </c>
      <c r="AL1104" s="100">
        <v>24140</v>
      </c>
      <c r="AM1104" s="100">
        <v>0</v>
      </c>
      <c r="AN1104" s="100">
        <v>0</v>
      </c>
      <c r="AO1104" s="100">
        <v>0</v>
      </c>
      <c r="AP1104" s="100">
        <f>ROUNDUP(SUM(AI1104:AO1104)*5%,0)-1</f>
        <v>111740</v>
      </c>
      <c r="AQ1104" s="101">
        <f>ROUNDUP(SUM(AI1104:AP1104),0)-1</f>
        <v>2346542</v>
      </c>
      <c r="AR1104" s="101">
        <v>0</v>
      </c>
      <c r="AS1104" s="101">
        <v>0</v>
      </c>
      <c r="AT1104" s="137" t="s">
        <v>33</v>
      </c>
      <c r="AU1104" s="120">
        <v>18</v>
      </c>
      <c r="AV1104" s="121">
        <f>37.16-26.66</f>
        <v>10.499999999999996</v>
      </c>
      <c r="AW1104" s="105">
        <v>0</v>
      </c>
      <c r="AX1104" s="140">
        <f>IFERROR(((AG1104+AG1105)/(AF1104+AF1105))*100, "")</f>
        <v>0.39533280819220029</v>
      </c>
      <c r="AY1104" s="141">
        <f>ROUNDUP((AG1104+AG1105)*AH1104,0)</f>
        <v>10801</v>
      </c>
      <c r="AZ1104" s="107"/>
      <c r="BA1104" s="118">
        <v>45701.451388888891</v>
      </c>
      <c r="BB1104" s="118">
        <v>45701.465277777781</v>
      </c>
      <c r="BC1104" s="118">
        <v>45701.465277777781</v>
      </c>
      <c r="BD1104" s="118">
        <v>45701.59375</v>
      </c>
      <c r="BE1104" s="119">
        <f t="shared" si="648"/>
        <v>0.14236111110949423</v>
      </c>
      <c r="BF1104" s="119">
        <v>7.6388888888888886E-3</v>
      </c>
      <c r="BG1104" s="119">
        <v>0</v>
      </c>
      <c r="BH1104" s="119">
        <f t="shared" si="649"/>
        <v>1.3888888890505768E-2</v>
      </c>
      <c r="BI1104" s="119">
        <f t="shared" si="649"/>
        <v>0</v>
      </c>
      <c r="BJ1104" s="119">
        <f t="shared" si="649"/>
        <v>0.12847222221898846</v>
      </c>
      <c r="BK1104" s="119">
        <f t="shared" si="650"/>
        <v>0.12847222221898846</v>
      </c>
      <c r="BL1104" s="119">
        <f t="shared" si="651"/>
        <v>0.12083333333009957</v>
      </c>
      <c r="BM1104" s="119" t="str">
        <f t="shared" si="652"/>
        <v>00:00</v>
      </c>
      <c r="BN1104" s="110" t="s">
        <v>1094</v>
      </c>
    </row>
    <row r="1105" spans="1:66" s="8" customFormat="1" ht="12.75" customHeight="1" x14ac:dyDescent="0.25">
      <c r="A1105" s="122"/>
      <c r="B1105" s="122"/>
      <c r="C1105" s="90">
        <v>1</v>
      </c>
      <c r="D1105" s="122"/>
      <c r="E1105" s="210" t="s">
        <v>1095</v>
      </c>
      <c r="F1105" s="122"/>
      <c r="G1105" s="122"/>
      <c r="H1105" s="122"/>
      <c r="I1105" s="122"/>
      <c r="J1105" s="124"/>
      <c r="K1105" s="123"/>
      <c r="L1105" s="123"/>
      <c r="M1105" s="124"/>
      <c r="N1105" s="125"/>
      <c r="O1105" s="125"/>
      <c r="P1105" s="125"/>
      <c r="Q1105" s="125"/>
      <c r="R1105" s="125"/>
      <c r="S1105" s="125"/>
      <c r="T1105" s="125"/>
      <c r="U1105" s="125"/>
      <c r="V1105" s="126"/>
      <c r="W1105" s="189"/>
      <c r="X1105" s="126"/>
      <c r="Y1105" s="96">
        <v>0</v>
      </c>
      <c r="Z1105" s="96">
        <v>11</v>
      </c>
      <c r="AA1105" s="96">
        <f t="shared" si="624"/>
        <v>11</v>
      </c>
      <c r="AB1105" s="97">
        <f t="shared" si="625"/>
        <v>0</v>
      </c>
      <c r="AC1105" s="97">
        <f t="shared" si="626"/>
        <v>775.17</v>
      </c>
      <c r="AD1105" s="98">
        <v>775.17</v>
      </c>
      <c r="AE1105" s="98">
        <v>758.8</v>
      </c>
      <c r="AF1105" s="98">
        <v>775.17</v>
      </c>
      <c r="AG1105" s="98">
        <f t="shared" si="627"/>
        <v>0</v>
      </c>
      <c r="AH1105" s="99">
        <v>672.5</v>
      </c>
      <c r="AI1105" s="100">
        <f t="shared" si="628"/>
        <v>521301.82499999995</v>
      </c>
      <c r="AJ1105" s="100">
        <f>(0*AH1105)*2</f>
        <v>0</v>
      </c>
      <c r="AK1105" s="100">
        <v>0</v>
      </c>
      <c r="AL1105" s="100">
        <v>0</v>
      </c>
      <c r="AM1105" s="100">
        <v>0</v>
      </c>
      <c r="AN1105" s="100">
        <v>0</v>
      </c>
      <c r="AO1105" s="100">
        <v>0</v>
      </c>
      <c r="AP1105" s="100">
        <f t="shared" ref="AP1105:AP1128" si="653">ROUNDUP(SUM(AI1105:AO1105)*5%,0)</f>
        <v>26066</v>
      </c>
      <c r="AQ1105" s="101">
        <f t="shared" ref="AQ1105:AQ1131" si="654">ROUNDUP(SUM(AI1105:AP1105),0)</f>
        <v>547368</v>
      </c>
      <c r="AR1105" s="101">
        <v>0</v>
      </c>
      <c r="AS1105" s="101">
        <v>0</v>
      </c>
      <c r="AT1105" s="138"/>
      <c r="AU1105" s="127"/>
      <c r="AV1105" s="128"/>
      <c r="AW1105" s="105">
        <v>0</v>
      </c>
      <c r="AX1105" s="144"/>
      <c r="AY1105" s="145"/>
      <c r="AZ1105" s="107"/>
      <c r="BA1105" s="125"/>
      <c r="BB1105" s="125"/>
      <c r="BC1105" s="125"/>
      <c r="BD1105" s="125"/>
      <c r="BE1105" s="126"/>
      <c r="BF1105" s="126"/>
      <c r="BG1105" s="126"/>
      <c r="BH1105" s="126"/>
      <c r="BI1105" s="126"/>
      <c r="BJ1105" s="126"/>
      <c r="BK1105" s="126"/>
      <c r="BL1105" s="126"/>
      <c r="BM1105" s="126"/>
      <c r="BN1105" s="110" t="s">
        <v>1096</v>
      </c>
    </row>
    <row r="1106" spans="1:66" s="8" customFormat="1" ht="12.75" customHeight="1" x14ac:dyDescent="0.25">
      <c r="A1106" s="150">
        <v>1019</v>
      </c>
      <c r="B1106" s="150">
        <v>38</v>
      </c>
      <c r="C1106" s="90">
        <v>4</v>
      </c>
      <c r="D1106" s="111" t="s">
        <v>113</v>
      </c>
      <c r="E1106" s="210" t="s">
        <v>1066</v>
      </c>
      <c r="F1106" s="150" t="s">
        <v>27</v>
      </c>
      <c r="G1106" s="150" t="s">
        <v>12</v>
      </c>
      <c r="H1106" s="150" t="s">
        <v>115</v>
      </c>
      <c r="I1106" s="150" t="s">
        <v>1097</v>
      </c>
      <c r="J1106" s="151">
        <v>45701</v>
      </c>
      <c r="K1106" s="135" t="s">
        <v>117</v>
      </c>
      <c r="L1106" s="135">
        <v>282001127</v>
      </c>
      <c r="M1106" s="151">
        <v>45702</v>
      </c>
      <c r="N1106" s="152">
        <v>45701.711805555555</v>
      </c>
      <c r="O1106" s="152">
        <v>45701.711805555555</v>
      </c>
      <c r="P1106" s="152">
        <v>45701.722222222219</v>
      </c>
      <c r="Q1106" s="152">
        <v>45701.916666666664</v>
      </c>
      <c r="R1106" s="152" t="s">
        <v>118</v>
      </c>
      <c r="S1106" s="152" t="s">
        <v>118</v>
      </c>
      <c r="T1106" s="152">
        <v>45701.989583333336</v>
      </c>
      <c r="U1106" s="152">
        <v>45702.072916666664</v>
      </c>
      <c r="V1106" s="219">
        <f t="shared" ref="V1106:V1116" si="655">+Q1106-O1106</f>
        <v>0.20486111110949423</v>
      </c>
      <c r="W1106" s="203">
        <v>0.20833333333333334</v>
      </c>
      <c r="X1106" s="219" t="str">
        <f t="shared" ref="X1106:X1116" si="656">IF(VALUE(V1106)&lt;=VALUE("05:00"),"00:00",VALUE(V1106)-VALUE("05:00"))</f>
        <v>00:00</v>
      </c>
      <c r="Y1106" s="96">
        <v>0</v>
      </c>
      <c r="Z1106" s="96">
        <v>57</v>
      </c>
      <c r="AA1106" s="96">
        <f t="shared" si="624"/>
        <v>57</v>
      </c>
      <c r="AB1106" s="97">
        <f t="shared" si="625"/>
        <v>0</v>
      </c>
      <c r="AC1106" s="97">
        <f t="shared" si="626"/>
        <v>3953.6</v>
      </c>
      <c r="AD1106" s="98">
        <v>3953.6</v>
      </c>
      <c r="AE1106" s="98">
        <v>3990</v>
      </c>
      <c r="AF1106" s="98">
        <v>4002.8</v>
      </c>
      <c r="AG1106" s="98">
        <f t="shared" si="627"/>
        <v>49.200000000000273</v>
      </c>
      <c r="AH1106" s="99">
        <v>1586.7</v>
      </c>
      <c r="AI1106" s="100">
        <f t="shared" si="628"/>
        <v>6351242.7600000007</v>
      </c>
      <c r="AJ1106" s="100">
        <f>(1.2*AH1106)*2</f>
        <v>3808.08</v>
      </c>
      <c r="AK1106" s="100">
        <v>0</v>
      </c>
      <c r="AL1106" s="100">
        <v>0</v>
      </c>
      <c r="AM1106" s="100">
        <v>0</v>
      </c>
      <c r="AN1106" s="100">
        <v>0</v>
      </c>
      <c r="AO1106" s="100">
        <f>IFERROR(AF1106*20+(((AJ1106/AH1106)/2)*20),0)</f>
        <v>80080</v>
      </c>
      <c r="AP1106" s="100">
        <f t="shared" si="653"/>
        <v>321757</v>
      </c>
      <c r="AQ1106" s="101">
        <f t="shared" si="654"/>
        <v>6756888</v>
      </c>
      <c r="AR1106" s="101">
        <v>0</v>
      </c>
      <c r="AS1106" s="101">
        <v>0</v>
      </c>
      <c r="AT1106" s="102" t="s">
        <v>33</v>
      </c>
      <c r="AU1106" s="109" t="s">
        <v>118</v>
      </c>
      <c r="AV1106" s="100">
        <v>0</v>
      </c>
      <c r="AW1106" s="105">
        <v>0</v>
      </c>
      <c r="AX1106" s="216">
        <f t="shared" ref="AX1106:AX1115" si="657">IFERROR((AG1106/AF1106)*100, "")</f>
        <v>1.2291396022784118</v>
      </c>
      <c r="AY1106" s="217">
        <f t="shared" ref="AY1106:AY1115" si="658">ROUNDUP(AG1106*AH1106,0)</f>
        <v>78066</v>
      </c>
      <c r="AZ1106" s="107"/>
      <c r="BA1106" s="94">
        <v>45701.711805555555</v>
      </c>
      <c r="BB1106" s="94">
        <v>45701.722222222219</v>
      </c>
      <c r="BC1106" s="94">
        <v>45701.722222222219</v>
      </c>
      <c r="BD1106" s="94">
        <v>45701.875</v>
      </c>
      <c r="BE1106" s="95">
        <f t="shared" ref="BE1106:BE1116" si="659">+BD1106-BA1106</f>
        <v>0.16319444444525288</v>
      </c>
      <c r="BF1106" s="95">
        <v>3.472222222222222E-3</v>
      </c>
      <c r="BG1106" s="95">
        <v>2.0833333333333333E-3</v>
      </c>
      <c r="BH1106" s="95">
        <f t="shared" ref="BH1106:BJ1116" si="660">+BB1106-BA1106</f>
        <v>1.0416666664241347E-2</v>
      </c>
      <c r="BI1106" s="95">
        <f t="shared" si="660"/>
        <v>0</v>
      </c>
      <c r="BJ1106" s="95">
        <f t="shared" si="660"/>
        <v>0.15277777778101154</v>
      </c>
      <c r="BK1106" s="95">
        <f t="shared" ref="BK1106:BK1116" si="661">+BI1106+BJ1106</f>
        <v>0.15277777778101154</v>
      </c>
      <c r="BL1106" s="95">
        <f t="shared" ref="BL1106:BL1116" si="662">+BE1106-BH1106-BF1106-BG1106</f>
        <v>0.147222222225456</v>
      </c>
      <c r="BM1106" s="95" t="str">
        <f t="shared" ref="BM1106:BM1116" si="663">IF(VALUE(BE1106)&lt;=VALUE("05:00"),"00:00",VALUE(BE1106)-VALUE("05:00"))</f>
        <v>00:00</v>
      </c>
      <c r="BN1106" s="110"/>
    </row>
    <row r="1107" spans="1:66" s="8" customFormat="1" ht="12.75" customHeight="1" x14ac:dyDescent="0.25">
      <c r="A1107" s="150">
        <v>1020</v>
      </c>
      <c r="B1107" s="150">
        <v>39</v>
      </c>
      <c r="C1107" s="90">
        <v>2</v>
      </c>
      <c r="D1107" s="111" t="s">
        <v>148</v>
      </c>
      <c r="E1107" s="210" t="s">
        <v>1095</v>
      </c>
      <c r="F1107" s="150" t="s">
        <v>16</v>
      </c>
      <c r="G1107" s="150" t="s">
        <v>17</v>
      </c>
      <c r="H1107" s="150" t="s">
        <v>150</v>
      </c>
      <c r="I1107" s="150" t="s">
        <v>694</v>
      </c>
      <c r="J1107" s="151">
        <v>45701</v>
      </c>
      <c r="K1107" s="135" t="s">
        <v>122</v>
      </c>
      <c r="L1107" s="135">
        <v>461000750</v>
      </c>
      <c r="M1107" s="151">
        <v>45702</v>
      </c>
      <c r="N1107" s="152">
        <v>45702.041666666664</v>
      </c>
      <c r="O1107" s="152">
        <v>45702.041666666664</v>
      </c>
      <c r="P1107" s="152">
        <v>45702.045138888891</v>
      </c>
      <c r="Q1107" s="152">
        <v>45702.208333333336</v>
      </c>
      <c r="R1107" s="152" t="s">
        <v>118</v>
      </c>
      <c r="S1107" s="152" t="s">
        <v>118</v>
      </c>
      <c r="T1107" s="152">
        <v>45702.229166666664</v>
      </c>
      <c r="U1107" s="152">
        <v>45702.32708333333</v>
      </c>
      <c r="V1107" s="219">
        <f t="shared" si="655"/>
        <v>0.16666666667151731</v>
      </c>
      <c r="W1107" s="203">
        <v>0.20833333333333334</v>
      </c>
      <c r="X1107" s="219" t="str">
        <f t="shared" si="656"/>
        <v>00:00</v>
      </c>
      <c r="Y1107" s="96">
        <v>0</v>
      </c>
      <c r="Z1107" s="96">
        <v>57</v>
      </c>
      <c r="AA1107" s="96">
        <f t="shared" si="624"/>
        <v>57</v>
      </c>
      <c r="AB1107" s="97">
        <f t="shared" si="625"/>
        <v>0</v>
      </c>
      <c r="AC1107" s="97">
        <f t="shared" si="626"/>
        <v>3939.3600000000006</v>
      </c>
      <c r="AD1107" s="98">
        <v>3939.36</v>
      </c>
      <c r="AE1107" s="98">
        <v>3971</v>
      </c>
      <c r="AF1107" s="98">
        <v>3978.2</v>
      </c>
      <c r="AG1107" s="98">
        <f t="shared" si="627"/>
        <v>38.839999999999691</v>
      </c>
      <c r="AH1107" s="99">
        <v>672.5</v>
      </c>
      <c r="AI1107" s="100">
        <f t="shared" si="628"/>
        <v>2675339.5</v>
      </c>
      <c r="AJ1107" s="100">
        <f>(0.8*AH1107)*2</f>
        <v>1076</v>
      </c>
      <c r="AK1107" s="100">
        <v>0</v>
      </c>
      <c r="AL1107" s="100">
        <v>0</v>
      </c>
      <c r="AM1107" s="100">
        <v>0</v>
      </c>
      <c r="AN1107" s="100">
        <v>0</v>
      </c>
      <c r="AO1107" s="100">
        <v>0</v>
      </c>
      <c r="AP1107" s="100">
        <f t="shared" si="653"/>
        <v>133821</v>
      </c>
      <c r="AQ1107" s="101">
        <f t="shared" si="654"/>
        <v>2810237</v>
      </c>
      <c r="AR1107" s="101">
        <v>0</v>
      </c>
      <c r="AS1107" s="101">
        <v>0</v>
      </c>
      <c r="AT1107" s="102" t="s">
        <v>33</v>
      </c>
      <c r="AU1107" s="109" t="s">
        <v>118</v>
      </c>
      <c r="AV1107" s="100">
        <v>0</v>
      </c>
      <c r="AW1107" s="105">
        <v>0</v>
      </c>
      <c r="AX1107" s="216">
        <f t="shared" si="657"/>
        <v>0.97632094917298518</v>
      </c>
      <c r="AY1107" s="217">
        <f t="shared" si="658"/>
        <v>26120</v>
      </c>
      <c r="AZ1107" s="107"/>
      <c r="BA1107" s="94">
        <v>45702.041666666664</v>
      </c>
      <c r="BB1107" s="94">
        <v>45702.045138888891</v>
      </c>
      <c r="BC1107" s="94">
        <v>45702.045138888891</v>
      </c>
      <c r="BD1107" s="94">
        <v>45702.166666666664</v>
      </c>
      <c r="BE1107" s="95">
        <f t="shared" si="659"/>
        <v>0.125</v>
      </c>
      <c r="BF1107" s="95">
        <v>0</v>
      </c>
      <c r="BG1107" s="95">
        <v>1.1805555555555555E-2</v>
      </c>
      <c r="BH1107" s="95">
        <f t="shared" si="660"/>
        <v>3.4722222262644209E-3</v>
      </c>
      <c r="BI1107" s="95">
        <f t="shared" si="660"/>
        <v>0</v>
      </c>
      <c r="BJ1107" s="95">
        <f t="shared" si="660"/>
        <v>0.12152777777373558</v>
      </c>
      <c r="BK1107" s="95">
        <f t="shared" si="661"/>
        <v>0.12152777777373558</v>
      </c>
      <c r="BL1107" s="95">
        <f t="shared" si="662"/>
        <v>0.10972222221818002</v>
      </c>
      <c r="BM1107" s="95" t="str">
        <f t="shared" si="663"/>
        <v>00:00</v>
      </c>
      <c r="BN1107" s="110"/>
    </row>
    <row r="1108" spans="1:66" s="8" customFormat="1" ht="12.75" customHeight="1" x14ac:dyDescent="0.25">
      <c r="A1108" s="150">
        <v>1021</v>
      </c>
      <c r="B1108" s="150">
        <v>40</v>
      </c>
      <c r="C1108" s="90">
        <v>3</v>
      </c>
      <c r="D1108" s="111" t="s">
        <v>148</v>
      </c>
      <c r="E1108" s="210" t="s">
        <v>1095</v>
      </c>
      <c r="F1108" s="150" t="s">
        <v>16</v>
      </c>
      <c r="G1108" s="150" t="s">
        <v>17</v>
      </c>
      <c r="H1108" s="150" t="s">
        <v>150</v>
      </c>
      <c r="I1108" s="150" t="s">
        <v>696</v>
      </c>
      <c r="J1108" s="151">
        <v>45701</v>
      </c>
      <c r="K1108" s="135" t="s">
        <v>117</v>
      </c>
      <c r="L1108" s="135">
        <v>461000751</v>
      </c>
      <c r="M1108" s="151">
        <v>45702</v>
      </c>
      <c r="N1108" s="152">
        <v>45702.166666666664</v>
      </c>
      <c r="O1108" s="152">
        <v>45702.166666666664</v>
      </c>
      <c r="P1108" s="152">
        <v>45702.170138888891</v>
      </c>
      <c r="Q1108" s="152">
        <v>45702.333333333336</v>
      </c>
      <c r="R1108" s="152" t="s">
        <v>118</v>
      </c>
      <c r="S1108" s="152" t="s">
        <v>118</v>
      </c>
      <c r="T1108" s="152">
        <v>45702.375</v>
      </c>
      <c r="U1108" s="152">
        <v>45702.455555555556</v>
      </c>
      <c r="V1108" s="219">
        <f t="shared" si="655"/>
        <v>0.16666666667151731</v>
      </c>
      <c r="W1108" s="203">
        <v>0.20833333333333334</v>
      </c>
      <c r="X1108" s="219" t="str">
        <f t="shared" si="656"/>
        <v>00:00</v>
      </c>
      <c r="Y1108" s="96">
        <v>0</v>
      </c>
      <c r="Z1108" s="96">
        <v>58</v>
      </c>
      <c r="AA1108" s="96">
        <f t="shared" si="624"/>
        <v>58</v>
      </c>
      <c r="AB1108" s="97">
        <f t="shared" si="625"/>
        <v>0</v>
      </c>
      <c r="AC1108" s="97">
        <f t="shared" si="626"/>
        <v>4075.6000000000004</v>
      </c>
      <c r="AD1108" s="98">
        <v>4075.6</v>
      </c>
      <c r="AE1108" s="98">
        <v>4060</v>
      </c>
      <c r="AF1108" s="98">
        <v>4072.8</v>
      </c>
      <c r="AG1108" s="98">
        <f t="shared" si="627"/>
        <v>-2.7999999999997272</v>
      </c>
      <c r="AH1108" s="99">
        <v>672.5</v>
      </c>
      <c r="AI1108" s="100">
        <f t="shared" si="628"/>
        <v>2738958</v>
      </c>
      <c r="AJ1108" s="100">
        <f>(12.8*AH1108)*3</f>
        <v>25824</v>
      </c>
      <c r="AK1108" s="100">
        <v>0</v>
      </c>
      <c r="AL1108" s="100">
        <v>0</v>
      </c>
      <c r="AM1108" s="100">
        <v>0</v>
      </c>
      <c r="AN1108" s="100">
        <v>0</v>
      </c>
      <c r="AO1108" s="100">
        <v>0</v>
      </c>
      <c r="AP1108" s="100">
        <f t="shared" si="653"/>
        <v>138240</v>
      </c>
      <c r="AQ1108" s="101">
        <f t="shared" si="654"/>
        <v>2903022</v>
      </c>
      <c r="AR1108" s="101">
        <v>0</v>
      </c>
      <c r="AS1108" s="101">
        <v>0</v>
      </c>
      <c r="AT1108" s="102" t="s">
        <v>33</v>
      </c>
      <c r="AU1108" s="109" t="s">
        <v>118</v>
      </c>
      <c r="AV1108" s="100">
        <v>0</v>
      </c>
      <c r="AW1108" s="105">
        <v>0</v>
      </c>
      <c r="AX1108" s="216">
        <f t="shared" si="657"/>
        <v>-6.8748772343344311E-2</v>
      </c>
      <c r="AY1108" s="217">
        <f t="shared" si="658"/>
        <v>-1883</v>
      </c>
      <c r="AZ1108" s="107"/>
      <c r="BA1108" s="94">
        <v>45702.166666666664</v>
      </c>
      <c r="BB1108" s="94">
        <v>45702.170138888891</v>
      </c>
      <c r="BC1108" s="94">
        <v>45702.170138888891</v>
      </c>
      <c r="BD1108" s="94">
        <v>45702.291666666664</v>
      </c>
      <c r="BE1108" s="95">
        <f t="shared" si="659"/>
        <v>0.125</v>
      </c>
      <c r="BF1108" s="95">
        <v>0</v>
      </c>
      <c r="BG1108" s="95">
        <v>0</v>
      </c>
      <c r="BH1108" s="95">
        <f t="shared" si="660"/>
        <v>3.4722222262644209E-3</v>
      </c>
      <c r="BI1108" s="95">
        <f t="shared" si="660"/>
        <v>0</v>
      </c>
      <c r="BJ1108" s="95">
        <f t="shared" si="660"/>
        <v>0.12152777777373558</v>
      </c>
      <c r="BK1108" s="95">
        <f t="shared" si="661"/>
        <v>0.12152777777373558</v>
      </c>
      <c r="BL1108" s="95">
        <f t="shared" si="662"/>
        <v>0.12152777777373558</v>
      </c>
      <c r="BM1108" s="95" t="str">
        <f t="shared" si="663"/>
        <v>00:00</v>
      </c>
      <c r="BN1108" s="110"/>
    </row>
    <row r="1109" spans="1:66" s="8" customFormat="1" ht="12.75" customHeight="1" x14ac:dyDescent="0.25">
      <c r="A1109" s="150">
        <v>1022</v>
      </c>
      <c r="B1109" s="150">
        <v>41</v>
      </c>
      <c r="C1109" s="90">
        <v>4</v>
      </c>
      <c r="D1109" s="111" t="s">
        <v>148</v>
      </c>
      <c r="E1109" s="210" t="s">
        <v>1095</v>
      </c>
      <c r="F1109" s="150" t="s">
        <v>16</v>
      </c>
      <c r="G1109" s="150" t="s">
        <v>17</v>
      </c>
      <c r="H1109" s="150" t="s">
        <v>150</v>
      </c>
      <c r="I1109" s="150" t="s">
        <v>698</v>
      </c>
      <c r="J1109" s="151">
        <v>45701</v>
      </c>
      <c r="K1109" s="135" t="s">
        <v>122</v>
      </c>
      <c r="L1109" s="135">
        <v>461000752</v>
      </c>
      <c r="M1109" s="151">
        <v>45702</v>
      </c>
      <c r="N1109" s="152">
        <v>45702.395833333336</v>
      </c>
      <c r="O1109" s="152">
        <v>45702.395833333336</v>
      </c>
      <c r="P1109" s="152">
        <v>45702.434027777781</v>
      </c>
      <c r="Q1109" s="152">
        <v>45702.583333333336</v>
      </c>
      <c r="R1109" s="152" t="s">
        <v>118</v>
      </c>
      <c r="S1109" s="152" t="s">
        <v>118</v>
      </c>
      <c r="T1109" s="152">
        <v>45702.604166666664</v>
      </c>
      <c r="U1109" s="152">
        <v>45702.770833333336</v>
      </c>
      <c r="V1109" s="219">
        <f t="shared" si="655"/>
        <v>0.1875</v>
      </c>
      <c r="W1109" s="203">
        <v>0.20833333333333334</v>
      </c>
      <c r="X1109" s="219" t="str">
        <f t="shared" si="656"/>
        <v>00:00</v>
      </c>
      <c r="Y1109" s="96">
        <v>0</v>
      </c>
      <c r="Z1109" s="96">
        <v>59</v>
      </c>
      <c r="AA1109" s="96">
        <f t="shared" si="624"/>
        <v>59</v>
      </c>
      <c r="AB1109" s="97">
        <f t="shared" si="625"/>
        <v>0</v>
      </c>
      <c r="AC1109" s="97">
        <f t="shared" si="626"/>
        <v>4090.1699999999996</v>
      </c>
      <c r="AD1109" s="98">
        <v>4090.17</v>
      </c>
      <c r="AE1109" s="98">
        <v>4093.9</v>
      </c>
      <c r="AF1109" s="98">
        <v>4115.6000000000004</v>
      </c>
      <c r="AG1109" s="98">
        <f t="shared" si="627"/>
        <v>25.430000000000291</v>
      </c>
      <c r="AH1109" s="99">
        <v>672.5</v>
      </c>
      <c r="AI1109" s="100">
        <f t="shared" si="628"/>
        <v>2767741.0000000005</v>
      </c>
      <c r="AJ1109" s="100">
        <f>(0*AH1109)*2</f>
        <v>0</v>
      </c>
      <c r="AK1109" s="100">
        <v>0</v>
      </c>
      <c r="AL1109" s="100">
        <v>24290</v>
      </c>
      <c r="AM1109" s="100">
        <v>0</v>
      </c>
      <c r="AN1109" s="100">
        <v>0</v>
      </c>
      <c r="AO1109" s="100">
        <v>0</v>
      </c>
      <c r="AP1109" s="100">
        <f t="shared" si="653"/>
        <v>139602</v>
      </c>
      <c r="AQ1109" s="101">
        <f t="shared" si="654"/>
        <v>2931633</v>
      </c>
      <c r="AR1109" s="101">
        <v>0</v>
      </c>
      <c r="AS1109" s="101">
        <v>0</v>
      </c>
      <c r="AT1109" s="102" t="s">
        <v>33</v>
      </c>
      <c r="AU1109" s="109">
        <v>10</v>
      </c>
      <c r="AV1109" s="100">
        <f>25.22-19.72</f>
        <v>5.5</v>
      </c>
      <c r="AW1109" s="105">
        <v>0</v>
      </c>
      <c r="AX1109" s="216">
        <f t="shared" si="657"/>
        <v>0.61789289532511149</v>
      </c>
      <c r="AY1109" s="217">
        <f t="shared" si="658"/>
        <v>17102</v>
      </c>
      <c r="AZ1109" s="107"/>
      <c r="BA1109" s="94">
        <v>45702.395833333336</v>
      </c>
      <c r="BB1109" s="94">
        <v>45702.434027777781</v>
      </c>
      <c r="BC1109" s="94">
        <v>45702.434027777781</v>
      </c>
      <c r="BD1109" s="94">
        <v>45702.569444444445</v>
      </c>
      <c r="BE1109" s="95">
        <f t="shared" si="659"/>
        <v>0.17361111110949423</v>
      </c>
      <c r="BF1109" s="95">
        <v>0</v>
      </c>
      <c r="BG1109" s="95">
        <v>0</v>
      </c>
      <c r="BH1109" s="95">
        <f t="shared" si="660"/>
        <v>3.8194444445252884E-2</v>
      </c>
      <c r="BI1109" s="95">
        <f t="shared" si="660"/>
        <v>0</v>
      </c>
      <c r="BJ1109" s="95">
        <f t="shared" si="660"/>
        <v>0.13541666666424135</v>
      </c>
      <c r="BK1109" s="95">
        <f t="shared" si="661"/>
        <v>0.13541666666424135</v>
      </c>
      <c r="BL1109" s="95">
        <f t="shared" si="662"/>
        <v>0.13541666666424135</v>
      </c>
      <c r="BM1109" s="95" t="str">
        <f t="shared" si="663"/>
        <v>00:00</v>
      </c>
      <c r="BN1109" s="110"/>
    </row>
    <row r="1110" spans="1:66" s="8" customFormat="1" ht="12.75" customHeight="1" x14ac:dyDescent="0.25">
      <c r="A1110" s="150">
        <v>1023</v>
      </c>
      <c r="B1110" s="150">
        <v>42</v>
      </c>
      <c r="C1110" s="90">
        <v>5</v>
      </c>
      <c r="D1110" s="111" t="s">
        <v>148</v>
      </c>
      <c r="E1110" s="210" t="s">
        <v>1095</v>
      </c>
      <c r="F1110" s="150" t="s">
        <v>16</v>
      </c>
      <c r="G1110" s="150" t="s">
        <v>17</v>
      </c>
      <c r="H1110" s="150" t="s">
        <v>150</v>
      </c>
      <c r="I1110" s="150" t="s">
        <v>700</v>
      </c>
      <c r="J1110" s="151">
        <v>45701</v>
      </c>
      <c r="K1110" s="135" t="s">
        <v>117</v>
      </c>
      <c r="L1110" s="135">
        <v>441000022</v>
      </c>
      <c r="M1110" s="151">
        <v>45703</v>
      </c>
      <c r="N1110" s="152">
        <v>45702.729166666664</v>
      </c>
      <c r="O1110" s="152">
        <v>45702.729166666664</v>
      </c>
      <c r="P1110" s="152">
        <v>45702.736111111109</v>
      </c>
      <c r="Q1110" s="152">
        <v>45702.895833333336</v>
      </c>
      <c r="R1110" s="152" t="s">
        <v>118</v>
      </c>
      <c r="S1110" s="152" t="s">
        <v>118</v>
      </c>
      <c r="T1110" s="152">
        <v>45702.993055555555</v>
      </c>
      <c r="U1110" s="152">
        <v>45703.035416666666</v>
      </c>
      <c r="V1110" s="219">
        <f t="shared" si="655"/>
        <v>0.16666666667151731</v>
      </c>
      <c r="W1110" s="203">
        <v>0.20833333333333334</v>
      </c>
      <c r="X1110" s="219" t="str">
        <f t="shared" si="656"/>
        <v>00:00</v>
      </c>
      <c r="Y1110" s="96">
        <v>0</v>
      </c>
      <c r="Z1110" s="96">
        <v>59</v>
      </c>
      <c r="AA1110" s="96">
        <f t="shared" si="624"/>
        <v>59</v>
      </c>
      <c r="AB1110" s="97">
        <f t="shared" si="625"/>
        <v>0</v>
      </c>
      <c r="AC1110" s="97">
        <f t="shared" si="626"/>
        <v>4089.85</v>
      </c>
      <c r="AD1110" s="98">
        <v>4089.85</v>
      </c>
      <c r="AE1110" s="98">
        <v>4090.5</v>
      </c>
      <c r="AF1110" s="98">
        <v>4109.2</v>
      </c>
      <c r="AG1110" s="98">
        <f t="shared" si="627"/>
        <v>19.349999999999909</v>
      </c>
      <c r="AH1110" s="99">
        <v>672.5</v>
      </c>
      <c r="AI1110" s="100">
        <f t="shared" si="628"/>
        <v>2763437</v>
      </c>
      <c r="AJ1110" s="100">
        <f>(2.4*AH1110)*2</f>
        <v>3228</v>
      </c>
      <c r="AK1110" s="100">
        <v>0</v>
      </c>
      <c r="AL1110" s="100">
        <v>0</v>
      </c>
      <c r="AM1110" s="100">
        <v>0</v>
      </c>
      <c r="AN1110" s="100">
        <v>0</v>
      </c>
      <c r="AO1110" s="100">
        <v>0</v>
      </c>
      <c r="AP1110" s="100">
        <f t="shared" si="653"/>
        <v>138334</v>
      </c>
      <c r="AQ1110" s="101">
        <f t="shared" si="654"/>
        <v>2904999</v>
      </c>
      <c r="AR1110" s="101">
        <v>0</v>
      </c>
      <c r="AS1110" s="101">
        <v>0</v>
      </c>
      <c r="AT1110" s="102" t="s">
        <v>33</v>
      </c>
      <c r="AU1110" s="109" t="s">
        <v>118</v>
      </c>
      <c r="AV1110" s="100">
        <v>0</v>
      </c>
      <c r="AW1110" s="105">
        <v>0</v>
      </c>
      <c r="AX1110" s="216">
        <f t="shared" si="657"/>
        <v>0.47089457802005041</v>
      </c>
      <c r="AY1110" s="217">
        <f t="shared" si="658"/>
        <v>13013</v>
      </c>
      <c r="AZ1110" s="107"/>
      <c r="BA1110" s="94">
        <v>45702.729166666664</v>
      </c>
      <c r="BB1110" s="94">
        <v>45702.736111111109</v>
      </c>
      <c r="BC1110" s="94">
        <v>45702.756944444445</v>
      </c>
      <c r="BD1110" s="94">
        <v>45702.879166666666</v>
      </c>
      <c r="BE1110" s="95">
        <f t="shared" si="659"/>
        <v>0.15000000000145519</v>
      </c>
      <c r="BF1110" s="95">
        <v>6.9444444444444441E-3</v>
      </c>
      <c r="BG1110" s="95">
        <v>1.3888888888888888E-2</v>
      </c>
      <c r="BH1110" s="95">
        <f t="shared" si="660"/>
        <v>6.9444444452528842E-3</v>
      </c>
      <c r="BI1110" s="95">
        <f t="shared" si="660"/>
        <v>2.0833333335758653E-2</v>
      </c>
      <c r="BJ1110" s="95">
        <f t="shared" si="660"/>
        <v>0.12222222222044365</v>
      </c>
      <c r="BK1110" s="95">
        <f t="shared" si="661"/>
        <v>0.14305555555620231</v>
      </c>
      <c r="BL1110" s="95">
        <f t="shared" si="662"/>
        <v>0.12222222222286896</v>
      </c>
      <c r="BM1110" s="95" t="str">
        <f t="shared" si="663"/>
        <v>00:00</v>
      </c>
      <c r="BN1110" s="110"/>
    </row>
    <row r="1111" spans="1:66" s="8" customFormat="1" ht="12.75" customHeight="1" x14ac:dyDescent="0.25">
      <c r="A1111" s="150">
        <v>1024</v>
      </c>
      <c r="B1111" s="150">
        <v>43</v>
      </c>
      <c r="C1111" s="90">
        <v>6</v>
      </c>
      <c r="D1111" s="111" t="s">
        <v>148</v>
      </c>
      <c r="E1111" s="210" t="s">
        <v>1095</v>
      </c>
      <c r="F1111" s="150" t="s">
        <v>16</v>
      </c>
      <c r="G1111" s="150" t="s">
        <v>17</v>
      </c>
      <c r="H1111" s="150" t="s">
        <v>150</v>
      </c>
      <c r="I1111" s="150" t="s">
        <v>702</v>
      </c>
      <c r="J1111" s="151">
        <v>45702</v>
      </c>
      <c r="K1111" s="135" t="s">
        <v>122</v>
      </c>
      <c r="L1111" s="135">
        <v>461000753</v>
      </c>
      <c r="M1111" s="151">
        <v>45703</v>
      </c>
      <c r="N1111" s="152">
        <v>45703.229166666664</v>
      </c>
      <c r="O1111" s="152">
        <v>45703.229166666664</v>
      </c>
      <c r="P1111" s="152">
        <v>45703.239583333336</v>
      </c>
      <c r="Q1111" s="152">
        <v>45703.395833333336</v>
      </c>
      <c r="R1111" s="152" t="s">
        <v>118</v>
      </c>
      <c r="S1111" s="152" t="s">
        <v>118</v>
      </c>
      <c r="T1111" s="152">
        <v>45703.416666666664</v>
      </c>
      <c r="U1111" s="152">
        <v>45703.518055555556</v>
      </c>
      <c r="V1111" s="219">
        <f t="shared" si="655"/>
        <v>0.16666666667151731</v>
      </c>
      <c r="W1111" s="203">
        <v>0.20833333333333334</v>
      </c>
      <c r="X1111" s="219" t="str">
        <f t="shared" si="656"/>
        <v>00:00</v>
      </c>
      <c r="Y1111" s="96">
        <v>0</v>
      </c>
      <c r="Z1111" s="96">
        <v>59</v>
      </c>
      <c r="AA1111" s="96">
        <f t="shared" si="624"/>
        <v>59</v>
      </c>
      <c r="AB1111" s="97">
        <f t="shared" si="625"/>
        <v>0</v>
      </c>
      <c r="AC1111" s="97">
        <f t="shared" si="626"/>
        <v>4044.16</v>
      </c>
      <c r="AD1111" s="98">
        <v>4044.16</v>
      </c>
      <c r="AE1111" s="98">
        <v>4102.1000000000004</v>
      </c>
      <c r="AF1111" s="98">
        <v>4107.8</v>
      </c>
      <c r="AG1111" s="98">
        <f t="shared" si="627"/>
        <v>63.640000000000327</v>
      </c>
      <c r="AH1111" s="99">
        <v>672.5</v>
      </c>
      <c r="AI1111" s="100">
        <f t="shared" si="628"/>
        <v>2762495.5</v>
      </c>
      <c r="AJ1111" s="100">
        <f>(0.8*AH1111)*2</f>
        <v>1076</v>
      </c>
      <c r="AK1111" s="100">
        <v>0</v>
      </c>
      <c r="AL1111" s="100">
        <v>0</v>
      </c>
      <c r="AM1111" s="100">
        <v>0</v>
      </c>
      <c r="AN1111" s="100">
        <v>0</v>
      </c>
      <c r="AO1111" s="100">
        <v>0</v>
      </c>
      <c r="AP1111" s="100">
        <f t="shared" si="653"/>
        <v>138179</v>
      </c>
      <c r="AQ1111" s="101">
        <f t="shared" si="654"/>
        <v>2901751</v>
      </c>
      <c r="AR1111" s="101">
        <v>0</v>
      </c>
      <c r="AS1111" s="101">
        <v>0</v>
      </c>
      <c r="AT1111" s="102" t="s">
        <v>33</v>
      </c>
      <c r="AU1111" s="109" t="s">
        <v>118</v>
      </c>
      <c r="AV1111" s="100">
        <v>0</v>
      </c>
      <c r="AW1111" s="105">
        <v>0</v>
      </c>
      <c r="AX1111" s="216">
        <f t="shared" si="657"/>
        <v>1.549247772530316</v>
      </c>
      <c r="AY1111" s="217">
        <f t="shared" si="658"/>
        <v>42798</v>
      </c>
      <c r="AZ1111" s="107"/>
      <c r="BA1111" s="94">
        <v>45703.229166666664</v>
      </c>
      <c r="BB1111" s="94">
        <v>45703.239583333336</v>
      </c>
      <c r="BC1111" s="94">
        <v>45703.239583333336</v>
      </c>
      <c r="BD1111" s="94">
        <v>45703.381944444445</v>
      </c>
      <c r="BE1111" s="95">
        <f t="shared" si="659"/>
        <v>0.15277777778101154</v>
      </c>
      <c r="BF1111" s="95">
        <v>2.4305555555555556E-2</v>
      </c>
      <c r="BG1111" s="95">
        <v>0</v>
      </c>
      <c r="BH1111" s="95">
        <f t="shared" si="660"/>
        <v>1.0416666671517305E-2</v>
      </c>
      <c r="BI1111" s="95">
        <f t="shared" si="660"/>
        <v>0</v>
      </c>
      <c r="BJ1111" s="95">
        <f t="shared" si="660"/>
        <v>0.14236111110949423</v>
      </c>
      <c r="BK1111" s="95">
        <f t="shared" si="661"/>
        <v>0.14236111110949423</v>
      </c>
      <c r="BL1111" s="95">
        <f t="shared" si="662"/>
        <v>0.11805555555393868</v>
      </c>
      <c r="BM1111" s="95" t="str">
        <f t="shared" si="663"/>
        <v>00:00</v>
      </c>
      <c r="BN1111" s="110"/>
    </row>
    <row r="1112" spans="1:66" s="8" customFormat="1" ht="12.75" customHeight="1" x14ac:dyDescent="0.25">
      <c r="A1112" s="150">
        <v>1025</v>
      </c>
      <c r="B1112" s="150">
        <v>44</v>
      </c>
      <c r="C1112" s="90">
        <v>13</v>
      </c>
      <c r="D1112" s="111" t="s">
        <v>113</v>
      </c>
      <c r="E1112" s="210" t="s">
        <v>948</v>
      </c>
      <c r="F1112" s="150" t="s">
        <v>14</v>
      </c>
      <c r="G1112" s="150" t="s">
        <v>15</v>
      </c>
      <c r="H1112" s="150" t="s">
        <v>779</v>
      </c>
      <c r="I1112" s="150" t="s">
        <v>1098</v>
      </c>
      <c r="J1112" s="151">
        <v>45703</v>
      </c>
      <c r="K1112" s="135" t="s">
        <v>117</v>
      </c>
      <c r="L1112" s="135">
        <v>281000285</v>
      </c>
      <c r="M1112" s="151">
        <v>45704</v>
      </c>
      <c r="N1112" s="152">
        <v>45703.427083333336</v>
      </c>
      <c r="O1112" s="152">
        <v>45703.427083333336</v>
      </c>
      <c r="P1112" s="152">
        <v>45703.4375</v>
      </c>
      <c r="Q1112" s="152">
        <v>45703.625</v>
      </c>
      <c r="R1112" s="152" t="s">
        <v>118</v>
      </c>
      <c r="S1112" s="152" t="s">
        <v>118</v>
      </c>
      <c r="T1112" s="152">
        <v>45703.645833333336</v>
      </c>
      <c r="U1112" s="152">
        <v>45703.777777777781</v>
      </c>
      <c r="V1112" s="219">
        <f t="shared" si="655"/>
        <v>0.19791666666424135</v>
      </c>
      <c r="W1112" s="203">
        <v>0.20833333333333334</v>
      </c>
      <c r="X1112" s="219" t="str">
        <f t="shared" si="656"/>
        <v>00:00</v>
      </c>
      <c r="Y1112" s="96">
        <v>0</v>
      </c>
      <c r="Z1112" s="96">
        <v>58</v>
      </c>
      <c r="AA1112" s="96">
        <f t="shared" si="624"/>
        <v>58</v>
      </c>
      <c r="AB1112" s="97">
        <f t="shared" si="625"/>
        <v>0</v>
      </c>
      <c r="AC1112" s="97">
        <f t="shared" si="626"/>
        <v>3896.35</v>
      </c>
      <c r="AD1112" s="98">
        <v>3896.35</v>
      </c>
      <c r="AE1112" s="98">
        <v>4043.5</v>
      </c>
      <c r="AF1112" s="98">
        <v>4043.6</v>
      </c>
      <c r="AG1112" s="98">
        <f t="shared" si="627"/>
        <v>147.25</v>
      </c>
      <c r="AH1112" s="99">
        <v>1435.6</v>
      </c>
      <c r="AI1112" s="100">
        <f t="shared" si="628"/>
        <v>5804992.1599999992</v>
      </c>
      <c r="AJ1112" s="100">
        <f>(0*AH1112)*2</f>
        <v>0</v>
      </c>
      <c r="AK1112" s="100">
        <v>0</v>
      </c>
      <c r="AL1112" s="100">
        <v>0</v>
      </c>
      <c r="AM1112" s="100">
        <v>0</v>
      </c>
      <c r="AN1112" s="100">
        <v>0</v>
      </c>
      <c r="AO1112" s="100">
        <v>0</v>
      </c>
      <c r="AP1112" s="100">
        <f t="shared" si="653"/>
        <v>290250</v>
      </c>
      <c r="AQ1112" s="101">
        <f t="shared" si="654"/>
        <v>6095243</v>
      </c>
      <c r="AR1112" s="101">
        <v>0</v>
      </c>
      <c r="AS1112" s="101">
        <v>0</v>
      </c>
      <c r="AT1112" s="102" t="s">
        <v>33</v>
      </c>
      <c r="AU1112" s="109" t="s">
        <v>118</v>
      </c>
      <c r="AV1112" s="100">
        <v>0</v>
      </c>
      <c r="AW1112" s="105">
        <v>0</v>
      </c>
      <c r="AX1112" s="216">
        <f t="shared" si="657"/>
        <v>3.641557028390543</v>
      </c>
      <c r="AY1112" s="217">
        <f t="shared" si="658"/>
        <v>211393</v>
      </c>
      <c r="AZ1112" s="107"/>
      <c r="BA1112" s="94">
        <v>45703.427083333336</v>
      </c>
      <c r="BB1112" s="94">
        <v>45703.4375</v>
      </c>
      <c r="BC1112" s="94">
        <v>45703.4375</v>
      </c>
      <c r="BD1112" s="94">
        <v>45703.590277777781</v>
      </c>
      <c r="BE1112" s="95">
        <f t="shared" si="659"/>
        <v>0.16319444444525288</v>
      </c>
      <c r="BF1112" s="95">
        <v>0</v>
      </c>
      <c r="BG1112" s="95">
        <v>4.1666666666666664E-2</v>
      </c>
      <c r="BH1112" s="95">
        <f t="shared" si="660"/>
        <v>1.0416666664241347E-2</v>
      </c>
      <c r="BI1112" s="95">
        <f t="shared" si="660"/>
        <v>0</v>
      </c>
      <c r="BJ1112" s="95">
        <f t="shared" si="660"/>
        <v>0.15277777778101154</v>
      </c>
      <c r="BK1112" s="95">
        <f t="shared" si="661"/>
        <v>0.15277777778101154</v>
      </c>
      <c r="BL1112" s="95">
        <f t="shared" si="662"/>
        <v>0.11111111111434488</v>
      </c>
      <c r="BM1112" s="95" t="str">
        <f t="shared" si="663"/>
        <v>00:00</v>
      </c>
      <c r="BN1112" s="110"/>
    </row>
    <row r="1113" spans="1:66" s="8" customFormat="1" ht="12.75" customHeight="1" x14ac:dyDescent="0.25">
      <c r="A1113" s="150">
        <v>1026</v>
      </c>
      <c r="B1113" s="150">
        <v>45</v>
      </c>
      <c r="C1113" s="90">
        <v>7</v>
      </c>
      <c r="D1113" s="111" t="s">
        <v>148</v>
      </c>
      <c r="E1113" s="210" t="s">
        <v>1095</v>
      </c>
      <c r="F1113" s="150" t="s">
        <v>16</v>
      </c>
      <c r="G1113" s="150" t="s">
        <v>17</v>
      </c>
      <c r="H1113" s="150" t="s">
        <v>150</v>
      </c>
      <c r="I1113" s="150" t="s">
        <v>704</v>
      </c>
      <c r="J1113" s="151">
        <v>45702</v>
      </c>
      <c r="K1113" s="135" t="s">
        <v>122</v>
      </c>
      <c r="L1113" s="135">
        <v>461000754</v>
      </c>
      <c r="M1113" s="151">
        <v>45703</v>
      </c>
      <c r="N1113" s="152">
        <v>45703.59375</v>
      </c>
      <c r="O1113" s="152">
        <v>45703.59375</v>
      </c>
      <c r="P1113" s="152">
        <v>45703.607638888891</v>
      </c>
      <c r="Q1113" s="152">
        <v>45703.78125</v>
      </c>
      <c r="R1113" s="152" t="s">
        <v>118</v>
      </c>
      <c r="S1113" s="152" t="s">
        <v>118</v>
      </c>
      <c r="T1113" s="152">
        <v>45703.833333333336</v>
      </c>
      <c r="U1113" s="152">
        <v>45703.961805555555</v>
      </c>
      <c r="V1113" s="219">
        <f t="shared" si="655"/>
        <v>0.1875</v>
      </c>
      <c r="W1113" s="203">
        <v>0.20833333333333334</v>
      </c>
      <c r="X1113" s="219" t="str">
        <f t="shared" si="656"/>
        <v>00:00</v>
      </c>
      <c r="Y1113" s="96">
        <v>0</v>
      </c>
      <c r="Z1113" s="96">
        <v>59</v>
      </c>
      <c r="AA1113" s="96">
        <f t="shared" ref="AA1113:AA1167" si="664">+Y1113+Z1113</f>
        <v>59</v>
      </c>
      <c r="AB1113" s="97">
        <f t="shared" ref="AB1113:AB1176" si="665">+AD1113/AA1113*Y1113</f>
        <v>0</v>
      </c>
      <c r="AC1113" s="97">
        <f t="shared" ref="AC1113:AC1176" si="666">+AD1113/AA1113*Z1113</f>
        <v>4099.1400000000003</v>
      </c>
      <c r="AD1113" s="98">
        <v>4099.1400000000003</v>
      </c>
      <c r="AE1113" s="98">
        <v>4101.2</v>
      </c>
      <c r="AF1113" s="98">
        <v>4120.6000000000004</v>
      </c>
      <c r="AG1113" s="98">
        <f t="shared" ref="AG1113:AG1176" si="667">+AF1113-AD1113</f>
        <v>21.460000000000036</v>
      </c>
      <c r="AH1113" s="99">
        <v>672.5</v>
      </c>
      <c r="AI1113" s="100">
        <f t="shared" ref="AI1113:AI1176" si="668">+AF1113*AH1113</f>
        <v>2771103.5000000005</v>
      </c>
      <c r="AJ1113" s="100">
        <f>(0*AH1113)*2</f>
        <v>0</v>
      </c>
      <c r="AK1113" s="100">
        <v>0</v>
      </c>
      <c r="AL1113" s="100">
        <v>24290</v>
      </c>
      <c r="AM1113" s="100">
        <v>0</v>
      </c>
      <c r="AN1113" s="100">
        <v>0</v>
      </c>
      <c r="AO1113" s="100">
        <v>0</v>
      </c>
      <c r="AP1113" s="100">
        <f t="shared" si="653"/>
        <v>139770</v>
      </c>
      <c r="AQ1113" s="101">
        <f t="shared" si="654"/>
        <v>2935164</v>
      </c>
      <c r="AR1113" s="101">
        <v>0</v>
      </c>
      <c r="AS1113" s="101">
        <v>0</v>
      </c>
      <c r="AT1113" s="102" t="s">
        <v>33</v>
      </c>
      <c r="AU1113" s="109">
        <v>9</v>
      </c>
      <c r="AV1113" s="100">
        <f>22.69-17.19</f>
        <v>5.5</v>
      </c>
      <c r="AW1113" s="105">
        <v>0</v>
      </c>
      <c r="AX1113" s="216">
        <f t="shared" si="657"/>
        <v>0.52079794204727548</v>
      </c>
      <c r="AY1113" s="217">
        <f t="shared" si="658"/>
        <v>14432</v>
      </c>
      <c r="AZ1113" s="107"/>
      <c r="BA1113" s="94">
        <v>45703.59375</v>
      </c>
      <c r="BB1113" s="94">
        <v>45703.607638888891</v>
      </c>
      <c r="BC1113" s="94">
        <v>45703.607638888891</v>
      </c>
      <c r="BD1113" s="94">
        <v>45703.717361111114</v>
      </c>
      <c r="BE1113" s="95">
        <f t="shared" si="659"/>
        <v>0.12361111111385981</v>
      </c>
      <c r="BF1113" s="95">
        <v>0</v>
      </c>
      <c r="BG1113" s="95">
        <v>0</v>
      </c>
      <c r="BH1113" s="95">
        <f t="shared" si="660"/>
        <v>1.3888888890505768E-2</v>
      </c>
      <c r="BI1113" s="95">
        <f t="shared" si="660"/>
        <v>0</v>
      </c>
      <c r="BJ1113" s="95">
        <f t="shared" si="660"/>
        <v>0.10972222222335404</v>
      </c>
      <c r="BK1113" s="95">
        <f t="shared" si="661"/>
        <v>0.10972222222335404</v>
      </c>
      <c r="BL1113" s="95">
        <f t="shared" si="662"/>
        <v>0.10972222222335404</v>
      </c>
      <c r="BM1113" s="95" t="str">
        <f t="shared" si="663"/>
        <v>00:00</v>
      </c>
      <c r="BN1113" s="110"/>
    </row>
    <row r="1114" spans="1:66" s="8" customFormat="1" ht="12.75" customHeight="1" x14ac:dyDescent="0.25">
      <c r="A1114" s="150">
        <v>1027</v>
      </c>
      <c r="B1114" s="150">
        <v>46</v>
      </c>
      <c r="C1114" s="90">
        <v>8</v>
      </c>
      <c r="D1114" s="111" t="s">
        <v>148</v>
      </c>
      <c r="E1114" s="210" t="s">
        <v>1095</v>
      </c>
      <c r="F1114" s="150" t="s">
        <v>16</v>
      </c>
      <c r="G1114" s="150" t="s">
        <v>17</v>
      </c>
      <c r="H1114" s="150" t="s">
        <v>150</v>
      </c>
      <c r="I1114" s="150" t="s">
        <v>706</v>
      </c>
      <c r="J1114" s="151">
        <v>45702</v>
      </c>
      <c r="K1114" s="135" t="s">
        <v>117</v>
      </c>
      <c r="L1114" s="135">
        <v>441000023</v>
      </c>
      <c r="M1114" s="151">
        <v>45704</v>
      </c>
      <c r="N1114" s="152">
        <v>45703.809027777781</v>
      </c>
      <c r="O1114" s="152">
        <v>45703.809027777781</v>
      </c>
      <c r="P1114" s="152">
        <v>45703.815972222219</v>
      </c>
      <c r="Q1114" s="152">
        <v>45703.9375</v>
      </c>
      <c r="R1114" s="152" t="s">
        <v>118</v>
      </c>
      <c r="S1114" s="152" t="s">
        <v>118</v>
      </c>
      <c r="T1114" s="152">
        <v>45703.958333333336</v>
      </c>
      <c r="U1114" s="152">
        <v>45704.090277777781</v>
      </c>
      <c r="V1114" s="219">
        <f t="shared" si="655"/>
        <v>0.12847222221898846</v>
      </c>
      <c r="W1114" s="203">
        <v>0.20833333333333334</v>
      </c>
      <c r="X1114" s="219" t="str">
        <f t="shared" si="656"/>
        <v>00:00</v>
      </c>
      <c r="Y1114" s="96">
        <v>4</v>
      </c>
      <c r="Z1114" s="96">
        <v>54</v>
      </c>
      <c r="AA1114" s="96">
        <f t="shared" si="664"/>
        <v>58</v>
      </c>
      <c r="AB1114" s="97">
        <f t="shared" si="665"/>
        <v>277.5468965517241</v>
      </c>
      <c r="AC1114" s="97">
        <f t="shared" si="666"/>
        <v>3746.8831034482755</v>
      </c>
      <c r="AD1114" s="98">
        <v>4024.43</v>
      </c>
      <c r="AE1114" s="98">
        <v>4022.1</v>
      </c>
      <c r="AF1114" s="98">
        <v>4032.8</v>
      </c>
      <c r="AG1114" s="98">
        <f t="shared" si="667"/>
        <v>8.3700000000003456</v>
      </c>
      <c r="AH1114" s="99">
        <v>672.5</v>
      </c>
      <c r="AI1114" s="100">
        <f t="shared" si="668"/>
        <v>2712058</v>
      </c>
      <c r="AJ1114" s="100">
        <f>(13.6*AH1114)*3</f>
        <v>27438</v>
      </c>
      <c r="AK1114" s="100">
        <v>0</v>
      </c>
      <c r="AL1114" s="100">
        <v>0</v>
      </c>
      <c r="AM1114" s="100">
        <v>0</v>
      </c>
      <c r="AN1114" s="100">
        <v>0</v>
      </c>
      <c r="AO1114" s="100">
        <v>0</v>
      </c>
      <c r="AP1114" s="100">
        <f t="shared" si="653"/>
        <v>136975</v>
      </c>
      <c r="AQ1114" s="101">
        <f t="shared" si="654"/>
        <v>2876471</v>
      </c>
      <c r="AR1114" s="101">
        <v>0</v>
      </c>
      <c r="AS1114" s="101">
        <v>0</v>
      </c>
      <c r="AT1114" s="102" t="s">
        <v>33</v>
      </c>
      <c r="AU1114" s="109" t="s">
        <v>118</v>
      </c>
      <c r="AV1114" s="100">
        <v>0</v>
      </c>
      <c r="AW1114" s="105">
        <v>0</v>
      </c>
      <c r="AX1114" s="216">
        <f t="shared" si="657"/>
        <v>0.20754810553462472</v>
      </c>
      <c r="AY1114" s="217">
        <f t="shared" si="658"/>
        <v>5629</v>
      </c>
      <c r="AZ1114" s="107"/>
      <c r="BA1114" s="94">
        <v>45703.809027777781</v>
      </c>
      <c r="BB1114" s="94">
        <v>45703.815972222219</v>
      </c>
      <c r="BC1114" s="94">
        <v>45703.815972222219</v>
      </c>
      <c r="BD1114" s="94">
        <v>45703.931944444441</v>
      </c>
      <c r="BE1114" s="95">
        <f t="shared" si="659"/>
        <v>0.12291666665987577</v>
      </c>
      <c r="BF1114" s="95">
        <v>0</v>
      </c>
      <c r="BG1114" s="95">
        <v>0</v>
      </c>
      <c r="BH1114" s="95">
        <f t="shared" si="660"/>
        <v>6.9444444379769266E-3</v>
      </c>
      <c r="BI1114" s="95">
        <f t="shared" si="660"/>
        <v>0</v>
      </c>
      <c r="BJ1114" s="95">
        <f t="shared" si="660"/>
        <v>0.11597222222189885</v>
      </c>
      <c r="BK1114" s="95">
        <f t="shared" si="661"/>
        <v>0.11597222222189885</v>
      </c>
      <c r="BL1114" s="95">
        <f t="shared" si="662"/>
        <v>0.11597222222189885</v>
      </c>
      <c r="BM1114" s="95" t="str">
        <f t="shared" si="663"/>
        <v>00:00</v>
      </c>
      <c r="BN1114" s="110"/>
    </row>
    <row r="1115" spans="1:66" s="8" customFormat="1" ht="12.75" customHeight="1" x14ac:dyDescent="0.25">
      <c r="A1115" s="150">
        <v>1028</v>
      </c>
      <c r="B1115" s="150">
        <v>47</v>
      </c>
      <c r="C1115" s="90">
        <v>9</v>
      </c>
      <c r="D1115" s="111" t="s">
        <v>148</v>
      </c>
      <c r="E1115" s="210" t="s">
        <v>1095</v>
      </c>
      <c r="F1115" s="150" t="s">
        <v>16</v>
      </c>
      <c r="G1115" s="150" t="s">
        <v>17</v>
      </c>
      <c r="H1115" s="150" t="s">
        <v>150</v>
      </c>
      <c r="I1115" s="150" t="s">
        <v>707</v>
      </c>
      <c r="J1115" s="151">
        <v>45702</v>
      </c>
      <c r="K1115" s="135" t="s">
        <v>122</v>
      </c>
      <c r="L1115" s="135">
        <v>461000755</v>
      </c>
      <c r="M1115" s="151">
        <v>45704</v>
      </c>
      <c r="N1115" s="152">
        <v>45704.010416666664</v>
      </c>
      <c r="O1115" s="152">
        <v>45704.010416666664</v>
      </c>
      <c r="P1115" s="152">
        <v>45704.013888888891</v>
      </c>
      <c r="Q1115" s="152">
        <v>45704.166666666664</v>
      </c>
      <c r="R1115" s="152" t="s">
        <v>118</v>
      </c>
      <c r="S1115" s="152" t="s">
        <v>118</v>
      </c>
      <c r="T1115" s="152">
        <v>45704.208333333336</v>
      </c>
      <c r="U1115" s="152">
        <v>45704.315972222219</v>
      </c>
      <c r="V1115" s="219">
        <f t="shared" si="655"/>
        <v>0.15625</v>
      </c>
      <c r="W1115" s="203">
        <v>0.20833333333333334</v>
      </c>
      <c r="X1115" s="219" t="str">
        <f t="shared" si="656"/>
        <v>00:00</v>
      </c>
      <c r="Y1115" s="96">
        <v>0</v>
      </c>
      <c r="Z1115" s="96">
        <v>59</v>
      </c>
      <c r="AA1115" s="96">
        <f t="shared" si="664"/>
        <v>59</v>
      </c>
      <c r="AB1115" s="97">
        <f t="shared" si="665"/>
        <v>0</v>
      </c>
      <c r="AC1115" s="97">
        <f t="shared" si="666"/>
        <v>4028.7000000000003</v>
      </c>
      <c r="AD1115" s="98">
        <v>4028.7</v>
      </c>
      <c r="AE1115" s="98">
        <v>4107</v>
      </c>
      <c r="AF1115" s="98">
        <v>4110</v>
      </c>
      <c r="AG1115" s="98">
        <f t="shared" si="667"/>
        <v>81.300000000000182</v>
      </c>
      <c r="AH1115" s="99">
        <v>672.5</v>
      </c>
      <c r="AI1115" s="100">
        <f t="shared" si="668"/>
        <v>2763975</v>
      </c>
      <c r="AJ1115" s="100">
        <f>(0.8*AH1115)*2</f>
        <v>1076</v>
      </c>
      <c r="AK1115" s="100">
        <v>0</v>
      </c>
      <c r="AL1115" s="100">
        <v>0</v>
      </c>
      <c r="AM1115" s="100">
        <v>0</v>
      </c>
      <c r="AN1115" s="100">
        <v>0</v>
      </c>
      <c r="AO1115" s="100">
        <v>0</v>
      </c>
      <c r="AP1115" s="100">
        <f t="shared" si="653"/>
        <v>138253</v>
      </c>
      <c r="AQ1115" s="101">
        <f t="shared" si="654"/>
        <v>2903304</v>
      </c>
      <c r="AR1115" s="101">
        <v>0</v>
      </c>
      <c r="AS1115" s="101">
        <v>0</v>
      </c>
      <c r="AT1115" s="102" t="s">
        <v>33</v>
      </c>
      <c r="AU1115" s="109" t="s">
        <v>118</v>
      </c>
      <c r="AV1115" s="100">
        <v>0</v>
      </c>
      <c r="AW1115" s="105">
        <v>0</v>
      </c>
      <c r="AX1115" s="216">
        <f t="shared" si="657"/>
        <v>1.9781021897810263</v>
      </c>
      <c r="AY1115" s="217">
        <f t="shared" si="658"/>
        <v>54675</v>
      </c>
      <c r="AZ1115" s="107"/>
      <c r="BA1115" s="94">
        <v>45704.010416666664</v>
      </c>
      <c r="BB1115" s="94">
        <v>45704.013888888891</v>
      </c>
      <c r="BC1115" s="94">
        <v>45704.013888888891</v>
      </c>
      <c r="BD1115" s="94">
        <v>45704.134027777778</v>
      </c>
      <c r="BE1115" s="95">
        <f t="shared" si="659"/>
        <v>0.12361111111385981</v>
      </c>
      <c r="BF1115" s="95">
        <v>0</v>
      </c>
      <c r="BG1115" s="95">
        <v>0</v>
      </c>
      <c r="BH1115" s="95">
        <f t="shared" si="660"/>
        <v>3.4722222262644209E-3</v>
      </c>
      <c r="BI1115" s="95">
        <f t="shared" si="660"/>
        <v>0</v>
      </c>
      <c r="BJ1115" s="95">
        <f t="shared" si="660"/>
        <v>0.12013888888759539</v>
      </c>
      <c r="BK1115" s="95">
        <f t="shared" si="661"/>
        <v>0.12013888888759539</v>
      </c>
      <c r="BL1115" s="95">
        <f t="shared" si="662"/>
        <v>0.12013888888759539</v>
      </c>
      <c r="BM1115" s="95" t="str">
        <f t="shared" si="663"/>
        <v>00:00</v>
      </c>
      <c r="BN1115" s="110"/>
    </row>
    <row r="1116" spans="1:66" s="8" customFormat="1" ht="12.75" customHeight="1" x14ac:dyDescent="0.25">
      <c r="A1116" s="115">
        <v>1029</v>
      </c>
      <c r="B1116" s="115">
        <v>48</v>
      </c>
      <c r="C1116" s="90">
        <v>3</v>
      </c>
      <c r="D1116" s="115" t="s">
        <v>113</v>
      </c>
      <c r="E1116" s="210" t="s">
        <v>1082</v>
      </c>
      <c r="F1116" s="115" t="s">
        <v>27</v>
      </c>
      <c r="G1116" s="115" t="s">
        <v>12</v>
      </c>
      <c r="H1116" s="115" t="s">
        <v>115</v>
      </c>
      <c r="I1116" s="115" t="s">
        <v>780</v>
      </c>
      <c r="J1116" s="117">
        <v>45704</v>
      </c>
      <c r="K1116" s="116" t="s">
        <v>117</v>
      </c>
      <c r="L1116" s="116">
        <v>282001128</v>
      </c>
      <c r="M1116" s="117">
        <v>45704</v>
      </c>
      <c r="N1116" s="118">
        <v>45704.166666666664</v>
      </c>
      <c r="O1116" s="118">
        <v>45704.166666666664</v>
      </c>
      <c r="P1116" s="118">
        <v>45704.170138888891</v>
      </c>
      <c r="Q1116" s="118">
        <v>45704.354166666664</v>
      </c>
      <c r="R1116" s="118" t="s">
        <v>118</v>
      </c>
      <c r="S1116" s="118" t="s">
        <v>118</v>
      </c>
      <c r="T1116" s="118">
        <v>45704.375</v>
      </c>
      <c r="U1116" s="118">
        <v>45704.495833333334</v>
      </c>
      <c r="V1116" s="119">
        <f t="shared" si="655"/>
        <v>0.1875</v>
      </c>
      <c r="W1116" s="185">
        <v>0.20833333333333334</v>
      </c>
      <c r="X1116" s="119" t="str">
        <f t="shared" si="656"/>
        <v>00:00</v>
      </c>
      <c r="Y1116" s="96">
        <v>0</v>
      </c>
      <c r="Z1116" s="96">
        <v>30</v>
      </c>
      <c r="AA1116" s="96">
        <f t="shared" si="664"/>
        <v>30</v>
      </c>
      <c r="AB1116" s="97">
        <f t="shared" si="665"/>
        <v>0</v>
      </c>
      <c r="AC1116" s="97">
        <f t="shared" si="666"/>
        <v>1980</v>
      </c>
      <c r="AD1116" s="98">
        <f>3881-1901</f>
        <v>1980</v>
      </c>
      <c r="AE1116" s="98">
        <f>4060-1960</f>
        <v>2100</v>
      </c>
      <c r="AF1116" s="98">
        <f>4060-1960</f>
        <v>2100</v>
      </c>
      <c r="AG1116" s="98">
        <f t="shared" si="667"/>
        <v>120</v>
      </c>
      <c r="AH1116" s="99">
        <v>1586.7</v>
      </c>
      <c r="AI1116" s="100">
        <f t="shared" si="668"/>
        <v>3332070</v>
      </c>
      <c r="AJ1116" s="100">
        <f>(0*AH1116)*2</f>
        <v>0</v>
      </c>
      <c r="AK1116" s="100">
        <v>0</v>
      </c>
      <c r="AL1116" s="100">
        <v>0</v>
      </c>
      <c r="AM1116" s="100">
        <v>0</v>
      </c>
      <c r="AN1116" s="100">
        <v>0</v>
      </c>
      <c r="AO1116" s="100">
        <f>IFERROR(AF1116*20+(((AJ1116/AH1116)/2)*20),0)</f>
        <v>42000</v>
      </c>
      <c r="AP1116" s="100">
        <f t="shared" si="653"/>
        <v>168704</v>
      </c>
      <c r="AQ1116" s="101">
        <f t="shared" si="654"/>
        <v>3542774</v>
      </c>
      <c r="AR1116" s="101">
        <v>0</v>
      </c>
      <c r="AS1116" s="101">
        <v>0</v>
      </c>
      <c r="AT1116" s="137" t="s">
        <v>33</v>
      </c>
      <c r="AU1116" s="120" t="s">
        <v>118</v>
      </c>
      <c r="AV1116" s="121">
        <v>0</v>
      </c>
      <c r="AW1116" s="105">
        <v>0</v>
      </c>
      <c r="AX1116" s="140">
        <f>IFERROR(((AG1116+AG1117)/(AF1116+AF1117))*100, "")</f>
        <v>4.4088669950738915</v>
      </c>
      <c r="AY1116" s="141">
        <f>ROUNDUP((AG1116+AG1117)*AH1116,0)</f>
        <v>284020</v>
      </c>
      <c r="AZ1116" s="107"/>
      <c r="BA1116" s="118">
        <v>45704.166666666664</v>
      </c>
      <c r="BB1116" s="118">
        <v>45704.170138888891</v>
      </c>
      <c r="BC1116" s="118">
        <v>45704.170138888891</v>
      </c>
      <c r="BD1116" s="118">
        <v>45704.354166666664</v>
      </c>
      <c r="BE1116" s="119">
        <f t="shared" si="659"/>
        <v>0.1875</v>
      </c>
      <c r="BF1116" s="119">
        <v>0</v>
      </c>
      <c r="BG1116" s="119">
        <v>8.3333333333333332E-3</v>
      </c>
      <c r="BH1116" s="119">
        <f t="shared" si="660"/>
        <v>3.4722222262644209E-3</v>
      </c>
      <c r="BI1116" s="119">
        <f t="shared" si="660"/>
        <v>0</v>
      </c>
      <c r="BJ1116" s="119">
        <f t="shared" si="660"/>
        <v>0.18402777777373558</v>
      </c>
      <c r="BK1116" s="119">
        <f t="shared" si="661"/>
        <v>0.18402777777373558</v>
      </c>
      <c r="BL1116" s="119">
        <f t="shared" si="662"/>
        <v>0.17569444444040225</v>
      </c>
      <c r="BM1116" s="119" t="str">
        <f t="shared" si="663"/>
        <v>00:00</v>
      </c>
      <c r="BN1116" s="110" t="s">
        <v>1099</v>
      </c>
    </row>
    <row r="1117" spans="1:66" s="8" customFormat="1" ht="12.75" customHeight="1" x14ac:dyDescent="0.25">
      <c r="A1117" s="122"/>
      <c r="B1117" s="122"/>
      <c r="C1117" s="90">
        <v>5</v>
      </c>
      <c r="D1117" s="122"/>
      <c r="E1117" s="210" t="s">
        <v>1066</v>
      </c>
      <c r="F1117" s="122"/>
      <c r="G1117" s="122"/>
      <c r="H1117" s="122"/>
      <c r="I1117" s="122"/>
      <c r="J1117" s="124"/>
      <c r="K1117" s="123"/>
      <c r="L1117" s="123"/>
      <c r="M1117" s="124"/>
      <c r="N1117" s="125"/>
      <c r="O1117" s="125"/>
      <c r="P1117" s="125"/>
      <c r="Q1117" s="125"/>
      <c r="R1117" s="125"/>
      <c r="S1117" s="125"/>
      <c r="T1117" s="125"/>
      <c r="U1117" s="125"/>
      <c r="V1117" s="126"/>
      <c r="W1117" s="189"/>
      <c r="X1117" s="126"/>
      <c r="Y1117" s="96">
        <v>0</v>
      </c>
      <c r="Z1117" s="96">
        <v>28</v>
      </c>
      <c r="AA1117" s="96">
        <f t="shared" si="664"/>
        <v>28</v>
      </c>
      <c r="AB1117" s="97">
        <f t="shared" si="665"/>
        <v>0</v>
      </c>
      <c r="AC1117" s="97">
        <f t="shared" si="666"/>
        <v>1901</v>
      </c>
      <c r="AD1117" s="98">
        <v>1901</v>
      </c>
      <c r="AE1117" s="98">
        <v>1960</v>
      </c>
      <c r="AF1117" s="98">
        <v>1960</v>
      </c>
      <c r="AG1117" s="98">
        <f t="shared" si="667"/>
        <v>59</v>
      </c>
      <c r="AH1117" s="99">
        <v>1586.7</v>
      </c>
      <c r="AI1117" s="100">
        <f t="shared" si="668"/>
        <v>3109932</v>
      </c>
      <c r="AJ1117" s="100">
        <f>(0*AH1117)*2</f>
        <v>0</v>
      </c>
      <c r="AK1117" s="100">
        <v>0</v>
      </c>
      <c r="AL1117" s="100">
        <v>0</v>
      </c>
      <c r="AM1117" s="100">
        <v>0</v>
      </c>
      <c r="AN1117" s="100">
        <v>0</v>
      </c>
      <c r="AO1117" s="100">
        <f>IFERROR(AF1117*20+(((AJ1117/AH1117)/2)*20),0)</f>
        <v>39200</v>
      </c>
      <c r="AP1117" s="100">
        <f t="shared" si="653"/>
        <v>157457</v>
      </c>
      <c r="AQ1117" s="101">
        <f t="shared" si="654"/>
        <v>3306589</v>
      </c>
      <c r="AR1117" s="101">
        <v>0</v>
      </c>
      <c r="AS1117" s="101">
        <v>0</v>
      </c>
      <c r="AT1117" s="138"/>
      <c r="AU1117" s="127"/>
      <c r="AV1117" s="128"/>
      <c r="AW1117" s="105">
        <v>0</v>
      </c>
      <c r="AX1117" s="144"/>
      <c r="AY1117" s="145"/>
      <c r="AZ1117" s="107"/>
      <c r="BA1117" s="125"/>
      <c r="BB1117" s="125"/>
      <c r="BC1117" s="125"/>
      <c r="BD1117" s="125"/>
      <c r="BE1117" s="126"/>
      <c r="BF1117" s="126"/>
      <c r="BG1117" s="126"/>
      <c r="BH1117" s="126"/>
      <c r="BI1117" s="126"/>
      <c r="BJ1117" s="126"/>
      <c r="BK1117" s="126"/>
      <c r="BL1117" s="126"/>
      <c r="BM1117" s="126"/>
      <c r="BN1117" s="110" t="s">
        <v>1100</v>
      </c>
    </row>
    <row r="1118" spans="1:66" s="8" customFormat="1" ht="12.75" customHeight="1" x14ac:dyDescent="0.25">
      <c r="A1118" s="150">
        <v>1030</v>
      </c>
      <c r="B1118" s="150">
        <v>49</v>
      </c>
      <c r="C1118" s="90">
        <v>10</v>
      </c>
      <c r="D1118" s="111" t="s">
        <v>148</v>
      </c>
      <c r="E1118" s="210" t="s">
        <v>1095</v>
      </c>
      <c r="F1118" s="150" t="s">
        <v>16</v>
      </c>
      <c r="G1118" s="150" t="s">
        <v>17</v>
      </c>
      <c r="H1118" s="150" t="s">
        <v>150</v>
      </c>
      <c r="I1118" s="150" t="s">
        <v>708</v>
      </c>
      <c r="J1118" s="151">
        <v>45703</v>
      </c>
      <c r="K1118" s="135" t="s">
        <v>122</v>
      </c>
      <c r="L1118" s="135">
        <v>461000756</v>
      </c>
      <c r="M1118" s="151">
        <v>45704</v>
      </c>
      <c r="N1118" s="152">
        <v>45704.395833333336</v>
      </c>
      <c r="O1118" s="152">
        <v>45704.395833333336</v>
      </c>
      <c r="P1118" s="152">
        <v>45704.402777777781</v>
      </c>
      <c r="Q1118" s="152">
        <v>45704.552083333336</v>
      </c>
      <c r="R1118" s="152" t="s">
        <v>118</v>
      </c>
      <c r="S1118" s="152" t="s">
        <v>118</v>
      </c>
      <c r="T1118" s="152">
        <v>45704.604166666664</v>
      </c>
      <c r="U1118" s="152">
        <v>45704.659722222219</v>
      </c>
      <c r="V1118" s="219">
        <f t="shared" ref="V1118:V1129" si="669">+Q1118-O1118</f>
        <v>0.15625</v>
      </c>
      <c r="W1118" s="203">
        <v>0.20833333333333334</v>
      </c>
      <c r="X1118" s="219" t="str">
        <f t="shared" ref="X1118:X1129" si="670">IF(VALUE(V1118)&lt;=VALUE("05:00"),"00:00",VALUE(V1118)-VALUE("05:00"))</f>
        <v>00:00</v>
      </c>
      <c r="Y1118" s="96">
        <v>0</v>
      </c>
      <c r="Z1118" s="96">
        <v>58</v>
      </c>
      <c r="AA1118" s="96">
        <f t="shared" si="664"/>
        <v>58</v>
      </c>
      <c r="AB1118" s="97">
        <f t="shared" si="665"/>
        <v>0</v>
      </c>
      <c r="AC1118" s="97">
        <f t="shared" si="666"/>
        <v>4016.27</v>
      </c>
      <c r="AD1118" s="98">
        <v>4016.27</v>
      </c>
      <c r="AE1118" s="98">
        <v>4030.4</v>
      </c>
      <c r="AF1118" s="98">
        <v>4046</v>
      </c>
      <c r="AG1118" s="98">
        <f t="shared" si="667"/>
        <v>29.730000000000018</v>
      </c>
      <c r="AH1118" s="99">
        <v>672.5</v>
      </c>
      <c r="AI1118" s="100">
        <f t="shared" si="668"/>
        <v>2720935</v>
      </c>
      <c r="AJ1118" s="100">
        <f>(0*AH1118)*2</f>
        <v>0</v>
      </c>
      <c r="AK1118" s="100">
        <v>0</v>
      </c>
      <c r="AL1118" s="100">
        <v>24140</v>
      </c>
      <c r="AM1118" s="100">
        <v>0</v>
      </c>
      <c r="AN1118" s="100">
        <v>0</v>
      </c>
      <c r="AO1118" s="100">
        <v>0</v>
      </c>
      <c r="AP1118" s="100">
        <f t="shared" si="653"/>
        <v>137254</v>
      </c>
      <c r="AQ1118" s="101">
        <f t="shared" si="654"/>
        <v>2882329</v>
      </c>
      <c r="AR1118" s="101">
        <v>0</v>
      </c>
      <c r="AS1118" s="101">
        <v>0</v>
      </c>
      <c r="AT1118" s="102" t="s">
        <v>33</v>
      </c>
      <c r="AU1118" s="109">
        <v>11</v>
      </c>
      <c r="AV1118" s="100">
        <f>18.48-12.48</f>
        <v>6</v>
      </c>
      <c r="AW1118" s="105">
        <v>0</v>
      </c>
      <c r="AX1118" s="216">
        <f t="shared" ref="AX1118:AX1128" si="671">IFERROR((AG1118/AF1118)*100, "")</f>
        <v>0.73479980227385111</v>
      </c>
      <c r="AY1118" s="217">
        <f t="shared" ref="AY1118:AY1128" si="672">ROUNDUP(AG1118*AH1118,0)</f>
        <v>19994</v>
      </c>
      <c r="AZ1118" s="107"/>
      <c r="BA1118" s="94">
        <v>45704.395833333336</v>
      </c>
      <c r="BB1118" s="94">
        <v>45704.402777777781</v>
      </c>
      <c r="BC1118" s="94">
        <v>45704.402777777781</v>
      </c>
      <c r="BD1118" s="94">
        <v>45704.517361111109</v>
      </c>
      <c r="BE1118" s="95">
        <f t="shared" ref="BE1118:BE1129" si="673">+BD1118-BA1118</f>
        <v>0.12152777777373558</v>
      </c>
      <c r="BF1118" s="95">
        <v>0</v>
      </c>
      <c r="BG1118" s="95">
        <v>0</v>
      </c>
      <c r="BH1118" s="95">
        <f t="shared" ref="BH1118:BJ1129" si="674">+BB1118-BA1118</f>
        <v>6.9444444452528842E-3</v>
      </c>
      <c r="BI1118" s="95">
        <f t="shared" si="674"/>
        <v>0</v>
      </c>
      <c r="BJ1118" s="95">
        <f t="shared" si="674"/>
        <v>0.11458333332848269</v>
      </c>
      <c r="BK1118" s="95">
        <f t="shared" ref="BK1118:BK1129" si="675">+BI1118+BJ1118</f>
        <v>0.11458333332848269</v>
      </c>
      <c r="BL1118" s="95">
        <f t="shared" ref="BL1118:BL1129" si="676">+BE1118-BH1118-BF1118-BG1118</f>
        <v>0.11458333332848269</v>
      </c>
      <c r="BM1118" s="95" t="str">
        <f t="shared" ref="BM1118:BM1129" si="677">IF(VALUE(BE1118)&lt;=VALUE("05:00"),"00:00",VALUE(BE1118)-VALUE("05:00"))</f>
        <v>00:00</v>
      </c>
      <c r="BN1118" s="110"/>
    </row>
    <row r="1119" spans="1:66" s="8" customFormat="1" ht="12.75" customHeight="1" x14ac:dyDescent="0.25">
      <c r="A1119" s="150">
        <v>1031</v>
      </c>
      <c r="B1119" s="150">
        <v>50</v>
      </c>
      <c r="C1119" s="90">
        <v>6</v>
      </c>
      <c r="D1119" s="111" t="s">
        <v>113</v>
      </c>
      <c r="E1119" s="210" t="s">
        <v>1066</v>
      </c>
      <c r="F1119" s="150" t="s">
        <v>27</v>
      </c>
      <c r="G1119" s="150" t="s">
        <v>12</v>
      </c>
      <c r="H1119" s="150" t="s">
        <v>115</v>
      </c>
      <c r="I1119" s="150" t="s">
        <v>778</v>
      </c>
      <c r="J1119" s="151">
        <v>45704</v>
      </c>
      <c r="K1119" s="135" t="s">
        <v>117</v>
      </c>
      <c r="L1119" s="135">
        <v>282001129</v>
      </c>
      <c r="M1119" s="151">
        <v>45705</v>
      </c>
      <c r="N1119" s="152">
        <v>45704.600694444445</v>
      </c>
      <c r="O1119" s="152">
        <v>45704.600694444445</v>
      </c>
      <c r="P1119" s="152">
        <v>45704.604166666664</v>
      </c>
      <c r="Q1119" s="152">
        <v>45704.791666666664</v>
      </c>
      <c r="R1119" s="152" t="s">
        <v>118</v>
      </c>
      <c r="S1119" s="152" t="s">
        <v>118</v>
      </c>
      <c r="T1119" s="152">
        <v>45704.802083333336</v>
      </c>
      <c r="U1119" s="152">
        <v>45704.918749999997</v>
      </c>
      <c r="V1119" s="219">
        <f t="shared" si="669"/>
        <v>0.19097222221898846</v>
      </c>
      <c r="W1119" s="203">
        <v>0.20833333333333334</v>
      </c>
      <c r="X1119" s="219" t="str">
        <f t="shared" si="670"/>
        <v>00:00</v>
      </c>
      <c r="Y1119" s="96">
        <v>0</v>
      </c>
      <c r="Z1119" s="96">
        <v>59</v>
      </c>
      <c r="AA1119" s="96">
        <f t="shared" si="664"/>
        <v>59</v>
      </c>
      <c r="AB1119" s="97">
        <f t="shared" si="665"/>
        <v>0</v>
      </c>
      <c r="AC1119" s="97">
        <f t="shared" si="666"/>
        <v>3999.8300000000004</v>
      </c>
      <c r="AD1119" s="98">
        <v>3999.83</v>
      </c>
      <c r="AE1119" s="98">
        <v>4099.1000000000004</v>
      </c>
      <c r="AF1119" s="98">
        <v>4105</v>
      </c>
      <c r="AG1119" s="98">
        <f t="shared" si="667"/>
        <v>105.17000000000007</v>
      </c>
      <c r="AH1119" s="99">
        <v>1586.7</v>
      </c>
      <c r="AI1119" s="100">
        <f t="shared" si="668"/>
        <v>6513403.5</v>
      </c>
      <c r="AJ1119" s="100">
        <f>(0.2*AH1119)*2</f>
        <v>634.68000000000006</v>
      </c>
      <c r="AK1119" s="100">
        <v>0</v>
      </c>
      <c r="AL1119" s="100">
        <v>0</v>
      </c>
      <c r="AM1119" s="100">
        <v>0</v>
      </c>
      <c r="AN1119" s="100">
        <v>0</v>
      </c>
      <c r="AO1119" s="100">
        <f>IFERROR(AF1119*20+(((AJ1119/AH1119)/2)*20),0)</f>
        <v>82104</v>
      </c>
      <c r="AP1119" s="100">
        <f t="shared" si="653"/>
        <v>329808</v>
      </c>
      <c r="AQ1119" s="101">
        <f t="shared" si="654"/>
        <v>6925951</v>
      </c>
      <c r="AR1119" s="101">
        <v>0</v>
      </c>
      <c r="AS1119" s="101">
        <v>0</v>
      </c>
      <c r="AT1119" s="102" t="s">
        <v>33</v>
      </c>
      <c r="AU1119" s="109" t="s">
        <v>118</v>
      </c>
      <c r="AV1119" s="100">
        <v>0</v>
      </c>
      <c r="AW1119" s="105">
        <v>0</v>
      </c>
      <c r="AX1119" s="216">
        <f t="shared" si="671"/>
        <v>2.5619975639464085</v>
      </c>
      <c r="AY1119" s="217">
        <f t="shared" si="672"/>
        <v>166874</v>
      </c>
      <c r="AZ1119" s="107"/>
      <c r="BA1119" s="94">
        <v>45704.600694444445</v>
      </c>
      <c r="BB1119" s="94">
        <v>45704.604166666664</v>
      </c>
      <c r="BC1119" s="94">
        <v>45704.604166666664</v>
      </c>
      <c r="BD1119" s="94">
        <v>45704.791666666664</v>
      </c>
      <c r="BE1119" s="95">
        <f t="shared" si="673"/>
        <v>0.19097222221898846</v>
      </c>
      <c r="BF1119" s="95">
        <v>1.3888888888888888E-2</v>
      </c>
      <c r="BG1119" s="95">
        <v>0</v>
      </c>
      <c r="BH1119" s="95">
        <f t="shared" si="674"/>
        <v>3.4722222189884633E-3</v>
      </c>
      <c r="BI1119" s="95">
        <f t="shared" si="674"/>
        <v>0</v>
      </c>
      <c r="BJ1119" s="95">
        <f t="shared" si="674"/>
        <v>0.1875</v>
      </c>
      <c r="BK1119" s="95">
        <f t="shared" si="675"/>
        <v>0.1875</v>
      </c>
      <c r="BL1119" s="95">
        <f t="shared" si="676"/>
        <v>0.1736111111111111</v>
      </c>
      <c r="BM1119" s="95" t="str">
        <f t="shared" si="677"/>
        <v>00:00</v>
      </c>
      <c r="BN1119" s="110"/>
    </row>
    <row r="1120" spans="1:66" s="8" customFormat="1" ht="12.75" customHeight="1" x14ac:dyDescent="0.25">
      <c r="A1120" s="150">
        <v>1032</v>
      </c>
      <c r="B1120" s="150">
        <v>51</v>
      </c>
      <c r="C1120" s="90">
        <v>11</v>
      </c>
      <c r="D1120" s="111" t="s">
        <v>148</v>
      </c>
      <c r="E1120" s="210" t="s">
        <v>1095</v>
      </c>
      <c r="F1120" s="150" t="s">
        <v>16</v>
      </c>
      <c r="G1120" s="150" t="s">
        <v>17</v>
      </c>
      <c r="H1120" s="150" t="s">
        <v>150</v>
      </c>
      <c r="I1120" s="150" t="s">
        <v>710</v>
      </c>
      <c r="J1120" s="151">
        <v>45703</v>
      </c>
      <c r="K1120" s="135" t="s">
        <v>122</v>
      </c>
      <c r="L1120" s="135">
        <v>461000757</v>
      </c>
      <c r="M1120" s="151">
        <v>45705</v>
      </c>
      <c r="N1120" s="152">
        <v>45704.770833333336</v>
      </c>
      <c r="O1120" s="152">
        <v>45704.770833333336</v>
      </c>
      <c r="P1120" s="152">
        <v>45704.774305555555</v>
      </c>
      <c r="Q1120" s="152">
        <v>45704.958333333336</v>
      </c>
      <c r="R1120" s="152" t="s">
        <v>118</v>
      </c>
      <c r="S1120" s="152" t="s">
        <v>118</v>
      </c>
      <c r="T1120" s="152">
        <v>45705.041666666664</v>
      </c>
      <c r="U1120" s="152">
        <v>45705.123611111114</v>
      </c>
      <c r="V1120" s="219">
        <f t="shared" si="669"/>
        <v>0.1875</v>
      </c>
      <c r="W1120" s="203">
        <v>0.20833333333333334</v>
      </c>
      <c r="X1120" s="219" t="str">
        <f t="shared" si="670"/>
        <v>00:00</v>
      </c>
      <c r="Y1120" s="96">
        <v>0</v>
      </c>
      <c r="Z1120" s="96">
        <v>58</v>
      </c>
      <c r="AA1120" s="96">
        <f t="shared" si="664"/>
        <v>58</v>
      </c>
      <c r="AB1120" s="97">
        <f t="shared" si="665"/>
        <v>0</v>
      </c>
      <c r="AC1120" s="97">
        <f t="shared" si="666"/>
        <v>3981.49</v>
      </c>
      <c r="AD1120" s="98">
        <v>3981.49</v>
      </c>
      <c r="AE1120" s="98">
        <v>4037.7</v>
      </c>
      <c r="AF1120" s="98">
        <v>4042.6</v>
      </c>
      <c r="AG1120" s="98">
        <f t="shared" si="667"/>
        <v>61.110000000000127</v>
      </c>
      <c r="AH1120" s="99">
        <v>672.5</v>
      </c>
      <c r="AI1120" s="100">
        <f t="shared" si="668"/>
        <v>2718648.5</v>
      </c>
      <c r="AJ1120" s="100">
        <f>(0.4*AH1120)*2</f>
        <v>538</v>
      </c>
      <c r="AK1120" s="100">
        <v>0</v>
      </c>
      <c r="AL1120" s="100">
        <v>0</v>
      </c>
      <c r="AM1120" s="100">
        <v>0</v>
      </c>
      <c r="AN1120" s="100">
        <v>0</v>
      </c>
      <c r="AO1120" s="100">
        <v>0</v>
      </c>
      <c r="AP1120" s="100">
        <f t="shared" si="653"/>
        <v>135960</v>
      </c>
      <c r="AQ1120" s="101">
        <f t="shared" si="654"/>
        <v>2855147</v>
      </c>
      <c r="AR1120" s="101">
        <v>0</v>
      </c>
      <c r="AS1120" s="101">
        <v>0</v>
      </c>
      <c r="AT1120" s="102" t="s">
        <v>33</v>
      </c>
      <c r="AU1120" s="109" t="s">
        <v>118</v>
      </c>
      <c r="AV1120" s="100">
        <v>0</v>
      </c>
      <c r="AW1120" s="105">
        <v>0</v>
      </c>
      <c r="AX1120" s="216">
        <f t="shared" si="671"/>
        <v>1.511650917726219</v>
      </c>
      <c r="AY1120" s="217">
        <f t="shared" si="672"/>
        <v>41097</v>
      </c>
      <c r="AZ1120" s="107"/>
      <c r="BA1120" s="94">
        <v>45704.770833333336</v>
      </c>
      <c r="BB1120" s="94">
        <v>45704.774305555555</v>
      </c>
      <c r="BC1120" s="94">
        <v>45704.826388888891</v>
      </c>
      <c r="BD1120" s="94">
        <v>45704.944444444445</v>
      </c>
      <c r="BE1120" s="95">
        <f t="shared" si="673"/>
        <v>0.17361111110949423</v>
      </c>
      <c r="BF1120" s="95">
        <v>2.0833333333333332E-2</v>
      </c>
      <c r="BG1120" s="95">
        <v>3.125E-2</v>
      </c>
      <c r="BH1120" s="95">
        <f t="shared" si="674"/>
        <v>3.4722222189884633E-3</v>
      </c>
      <c r="BI1120" s="95">
        <f t="shared" si="674"/>
        <v>5.2083333335758653E-2</v>
      </c>
      <c r="BJ1120" s="95">
        <f t="shared" si="674"/>
        <v>0.11805555555474712</v>
      </c>
      <c r="BK1120" s="95">
        <f t="shared" si="675"/>
        <v>0.17013888889050577</v>
      </c>
      <c r="BL1120" s="95">
        <f t="shared" si="676"/>
        <v>0.11805555555717243</v>
      </c>
      <c r="BM1120" s="95" t="str">
        <f t="shared" si="677"/>
        <v>00:00</v>
      </c>
      <c r="BN1120" s="110"/>
    </row>
    <row r="1121" spans="1:66" s="8" customFormat="1" ht="12.75" customHeight="1" x14ac:dyDescent="0.25">
      <c r="A1121" s="150">
        <v>1033</v>
      </c>
      <c r="B1121" s="150">
        <v>52</v>
      </c>
      <c r="C1121" s="90">
        <v>12</v>
      </c>
      <c r="D1121" s="111" t="s">
        <v>148</v>
      </c>
      <c r="E1121" s="210" t="s">
        <v>1095</v>
      </c>
      <c r="F1121" s="150" t="s">
        <v>16</v>
      </c>
      <c r="G1121" s="150" t="s">
        <v>17</v>
      </c>
      <c r="H1121" s="150" t="s">
        <v>150</v>
      </c>
      <c r="I1121" s="150" t="s">
        <v>713</v>
      </c>
      <c r="J1121" s="151">
        <v>45704</v>
      </c>
      <c r="K1121" s="135" t="s">
        <v>117</v>
      </c>
      <c r="L1121" s="135">
        <v>461000758</v>
      </c>
      <c r="M1121" s="151">
        <v>45705</v>
      </c>
      <c r="N1121" s="152">
        <v>45705.0625</v>
      </c>
      <c r="O1121" s="152">
        <v>45705.0625</v>
      </c>
      <c r="P1121" s="152">
        <v>45705.072916666664</v>
      </c>
      <c r="Q1121" s="152">
        <v>45705.25</v>
      </c>
      <c r="R1121" s="152" t="s">
        <v>118</v>
      </c>
      <c r="S1121" s="152" t="s">
        <v>118</v>
      </c>
      <c r="T1121" s="152">
        <v>45705.333333333336</v>
      </c>
      <c r="U1121" s="152">
        <v>45705.46875</v>
      </c>
      <c r="V1121" s="219">
        <f t="shared" si="669"/>
        <v>0.1875</v>
      </c>
      <c r="W1121" s="203">
        <v>0.20833333333333334</v>
      </c>
      <c r="X1121" s="219" t="str">
        <f t="shared" si="670"/>
        <v>00:00</v>
      </c>
      <c r="Y1121" s="96">
        <v>0</v>
      </c>
      <c r="Z1121" s="96">
        <v>58</v>
      </c>
      <c r="AA1121" s="96">
        <f t="shared" si="664"/>
        <v>58</v>
      </c>
      <c r="AB1121" s="97">
        <f t="shared" si="665"/>
        <v>0</v>
      </c>
      <c r="AC1121" s="97">
        <f t="shared" si="666"/>
        <v>4054.8799999999997</v>
      </c>
      <c r="AD1121" s="98">
        <v>4054.88</v>
      </c>
      <c r="AE1121" s="98">
        <v>4026.2</v>
      </c>
      <c r="AF1121" s="98">
        <v>4070.6</v>
      </c>
      <c r="AG1121" s="98">
        <f t="shared" si="667"/>
        <v>15.7199999999998</v>
      </c>
      <c r="AH1121" s="99">
        <v>672.5</v>
      </c>
      <c r="AI1121" s="100">
        <f t="shared" si="668"/>
        <v>2737478.5</v>
      </c>
      <c r="AJ1121" s="100">
        <f>(0*AH1121)*2</f>
        <v>0</v>
      </c>
      <c r="AK1121" s="100">
        <v>0</v>
      </c>
      <c r="AL1121" s="100">
        <v>24140</v>
      </c>
      <c r="AM1121" s="100">
        <v>0</v>
      </c>
      <c r="AN1121" s="100">
        <v>0</v>
      </c>
      <c r="AO1121" s="100">
        <v>0</v>
      </c>
      <c r="AP1121" s="100">
        <f t="shared" si="653"/>
        <v>138081</v>
      </c>
      <c r="AQ1121" s="101">
        <f t="shared" si="654"/>
        <v>2899700</v>
      </c>
      <c r="AR1121" s="101">
        <v>0</v>
      </c>
      <c r="AS1121" s="101">
        <v>0</v>
      </c>
      <c r="AT1121" s="102" t="s">
        <v>33</v>
      </c>
      <c r="AU1121" s="109">
        <v>34</v>
      </c>
      <c r="AV1121" s="100">
        <f>65.87-36.87</f>
        <v>29.000000000000007</v>
      </c>
      <c r="AW1121" s="105">
        <v>0</v>
      </c>
      <c r="AX1121" s="216">
        <f t="shared" si="671"/>
        <v>0.38618385495995183</v>
      </c>
      <c r="AY1121" s="217">
        <f t="shared" si="672"/>
        <v>10572</v>
      </c>
      <c r="AZ1121" s="107"/>
      <c r="BA1121" s="94">
        <v>45705.0625</v>
      </c>
      <c r="BB1121" s="94">
        <v>45705.072916666664</v>
      </c>
      <c r="BC1121" s="94">
        <v>45705.072916666664</v>
      </c>
      <c r="BD1121" s="94">
        <v>45705.229166666664</v>
      </c>
      <c r="BE1121" s="95">
        <f t="shared" si="673"/>
        <v>0.16666666666424135</v>
      </c>
      <c r="BF1121" s="95">
        <v>0</v>
      </c>
      <c r="BG1121" s="95">
        <v>2.2916666666666665E-2</v>
      </c>
      <c r="BH1121" s="95">
        <f t="shared" si="674"/>
        <v>1.0416666664241347E-2</v>
      </c>
      <c r="BI1121" s="95">
        <f t="shared" si="674"/>
        <v>0</v>
      </c>
      <c r="BJ1121" s="95">
        <f t="shared" si="674"/>
        <v>0.15625</v>
      </c>
      <c r="BK1121" s="95">
        <f t="shared" si="675"/>
        <v>0.15625</v>
      </c>
      <c r="BL1121" s="95">
        <f t="shared" si="676"/>
        <v>0.13333333333333333</v>
      </c>
      <c r="BM1121" s="95" t="str">
        <f t="shared" si="677"/>
        <v>00:00</v>
      </c>
      <c r="BN1121" s="110"/>
    </row>
    <row r="1122" spans="1:66" s="8" customFormat="1" ht="12.75" customHeight="1" x14ac:dyDescent="0.25">
      <c r="A1122" s="150">
        <v>1034</v>
      </c>
      <c r="B1122" s="150">
        <v>53</v>
      </c>
      <c r="C1122" s="90">
        <v>13</v>
      </c>
      <c r="D1122" s="111" t="s">
        <v>148</v>
      </c>
      <c r="E1122" s="210" t="s">
        <v>1095</v>
      </c>
      <c r="F1122" s="150" t="s">
        <v>16</v>
      </c>
      <c r="G1122" s="150" t="s">
        <v>17</v>
      </c>
      <c r="H1122" s="150" t="s">
        <v>150</v>
      </c>
      <c r="I1122" s="150" t="s">
        <v>716</v>
      </c>
      <c r="J1122" s="151">
        <v>45704</v>
      </c>
      <c r="K1122" s="135" t="s">
        <v>122</v>
      </c>
      <c r="L1122" s="135">
        <v>461000759</v>
      </c>
      <c r="M1122" s="151">
        <v>45705</v>
      </c>
      <c r="N1122" s="152">
        <v>45705.354166666664</v>
      </c>
      <c r="O1122" s="152">
        <v>45705.354166666664</v>
      </c>
      <c r="P1122" s="152">
        <v>45705.364583333336</v>
      </c>
      <c r="Q1122" s="152">
        <v>45705.520833333336</v>
      </c>
      <c r="R1122" s="152" t="s">
        <v>118</v>
      </c>
      <c r="S1122" s="152" t="s">
        <v>118</v>
      </c>
      <c r="T1122" s="152">
        <v>45705.666666666664</v>
      </c>
      <c r="U1122" s="152">
        <v>45705.770833333336</v>
      </c>
      <c r="V1122" s="219">
        <f t="shared" si="669"/>
        <v>0.16666666667151731</v>
      </c>
      <c r="W1122" s="203">
        <v>0.20833333333333334</v>
      </c>
      <c r="X1122" s="219" t="str">
        <f t="shared" si="670"/>
        <v>00:00</v>
      </c>
      <c r="Y1122" s="96">
        <v>0</v>
      </c>
      <c r="Z1122" s="96">
        <v>58</v>
      </c>
      <c r="AA1122" s="96">
        <f t="shared" si="664"/>
        <v>58</v>
      </c>
      <c r="AB1122" s="97">
        <f t="shared" si="665"/>
        <v>0</v>
      </c>
      <c r="AC1122" s="97">
        <f t="shared" si="666"/>
        <v>4034.36</v>
      </c>
      <c r="AD1122" s="98">
        <v>4034.36</v>
      </c>
      <c r="AE1122" s="98">
        <v>4042.9</v>
      </c>
      <c r="AF1122" s="98">
        <v>4064</v>
      </c>
      <c r="AG1122" s="98">
        <f t="shared" si="667"/>
        <v>29.639999999999873</v>
      </c>
      <c r="AH1122" s="99">
        <v>672.5</v>
      </c>
      <c r="AI1122" s="100">
        <f t="shared" si="668"/>
        <v>2733040</v>
      </c>
      <c r="AJ1122" s="100">
        <f>(0*AH1122)*2</f>
        <v>0</v>
      </c>
      <c r="AK1122" s="100">
        <v>0</v>
      </c>
      <c r="AL1122" s="100">
        <v>24140</v>
      </c>
      <c r="AM1122" s="100">
        <v>0</v>
      </c>
      <c r="AN1122" s="100">
        <v>0</v>
      </c>
      <c r="AO1122" s="100">
        <v>0</v>
      </c>
      <c r="AP1122" s="100">
        <f t="shared" si="653"/>
        <v>137859</v>
      </c>
      <c r="AQ1122" s="101">
        <f t="shared" si="654"/>
        <v>2895039</v>
      </c>
      <c r="AR1122" s="101">
        <v>0</v>
      </c>
      <c r="AS1122" s="101">
        <v>0</v>
      </c>
      <c r="AT1122" s="102" t="s">
        <v>33</v>
      </c>
      <c r="AU1122" s="109">
        <v>9</v>
      </c>
      <c r="AV1122" s="100">
        <f>25.4-19.4</f>
        <v>6</v>
      </c>
      <c r="AW1122" s="105">
        <v>0</v>
      </c>
      <c r="AX1122" s="216">
        <f t="shared" si="671"/>
        <v>0.72933070866141414</v>
      </c>
      <c r="AY1122" s="217">
        <f t="shared" si="672"/>
        <v>19933</v>
      </c>
      <c r="AZ1122" s="107"/>
      <c r="BA1122" s="94">
        <v>45705.354166666664</v>
      </c>
      <c r="BB1122" s="94">
        <v>45705.364583333336</v>
      </c>
      <c r="BC1122" s="94">
        <v>45705.364583333336</v>
      </c>
      <c r="BD1122" s="94">
        <v>45705.503472222219</v>
      </c>
      <c r="BE1122" s="95">
        <f t="shared" si="673"/>
        <v>0.14930555555474712</v>
      </c>
      <c r="BF1122" s="95">
        <v>0</v>
      </c>
      <c r="BG1122" s="95">
        <v>2.0833333333333332E-2</v>
      </c>
      <c r="BH1122" s="95">
        <f t="shared" si="674"/>
        <v>1.0416666671517305E-2</v>
      </c>
      <c r="BI1122" s="95">
        <f t="shared" si="674"/>
        <v>0</v>
      </c>
      <c r="BJ1122" s="95">
        <f t="shared" si="674"/>
        <v>0.13888888888322981</v>
      </c>
      <c r="BK1122" s="95">
        <f t="shared" si="675"/>
        <v>0.13888888888322981</v>
      </c>
      <c r="BL1122" s="95">
        <f t="shared" si="676"/>
        <v>0.11805555554989648</v>
      </c>
      <c r="BM1122" s="95" t="str">
        <f t="shared" si="677"/>
        <v>00:00</v>
      </c>
      <c r="BN1122" s="110"/>
    </row>
    <row r="1123" spans="1:66" s="8" customFormat="1" ht="12.75" customHeight="1" x14ac:dyDescent="0.25">
      <c r="A1123" s="150">
        <v>1035</v>
      </c>
      <c r="B1123" s="150">
        <v>54</v>
      </c>
      <c r="C1123" s="90">
        <v>14</v>
      </c>
      <c r="D1123" s="111" t="s">
        <v>148</v>
      </c>
      <c r="E1123" s="210" t="s">
        <v>1095</v>
      </c>
      <c r="F1123" s="150" t="s">
        <v>16</v>
      </c>
      <c r="G1123" s="150" t="s">
        <v>17</v>
      </c>
      <c r="H1123" s="150" t="s">
        <v>150</v>
      </c>
      <c r="I1123" s="150" t="s">
        <v>719</v>
      </c>
      <c r="J1123" s="151">
        <v>45705</v>
      </c>
      <c r="K1123" s="135" t="s">
        <v>117</v>
      </c>
      <c r="L1123" s="135">
        <v>461000760</v>
      </c>
      <c r="M1123" s="151">
        <v>45706</v>
      </c>
      <c r="N1123" s="152">
        <v>45705.958333333336</v>
      </c>
      <c r="O1123" s="152">
        <v>45705.958333333336</v>
      </c>
      <c r="P1123" s="152">
        <v>45705.972222222219</v>
      </c>
      <c r="Q1123" s="152">
        <v>45706.166666666664</v>
      </c>
      <c r="R1123" s="152" t="s">
        <v>118</v>
      </c>
      <c r="S1123" s="152" t="s">
        <v>118</v>
      </c>
      <c r="T1123" s="152">
        <v>45706.1875</v>
      </c>
      <c r="U1123" s="152">
        <v>45706.297222222223</v>
      </c>
      <c r="V1123" s="219">
        <f t="shared" si="669"/>
        <v>0.20833333332848269</v>
      </c>
      <c r="W1123" s="203">
        <v>0.20833333333333334</v>
      </c>
      <c r="X1123" s="219" t="str">
        <f t="shared" si="670"/>
        <v>00:00</v>
      </c>
      <c r="Y1123" s="96">
        <v>3</v>
      </c>
      <c r="Z1123" s="96">
        <v>56</v>
      </c>
      <c r="AA1123" s="96">
        <f t="shared" si="664"/>
        <v>59</v>
      </c>
      <c r="AB1123" s="97">
        <f t="shared" si="665"/>
        <v>205.27627118644068</v>
      </c>
      <c r="AC1123" s="97">
        <f t="shared" si="666"/>
        <v>3831.8237288135592</v>
      </c>
      <c r="AD1123" s="98">
        <v>4037.1</v>
      </c>
      <c r="AE1123" s="98">
        <v>4099.3</v>
      </c>
      <c r="AF1123" s="98">
        <v>4104.8</v>
      </c>
      <c r="AG1123" s="98">
        <f t="shared" si="667"/>
        <v>67.700000000000273</v>
      </c>
      <c r="AH1123" s="99">
        <v>672.5</v>
      </c>
      <c r="AI1123" s="100">
        <f t="shared" si="668"/>
        <v>2760478</v>
      </c>
      <c r="AJ1123" s="100">
        <f>(0.4*AH1123)*2</f>
        <v>538</v>
      </c>
      <c r="AK1123" s="100">
        <v>0</v>
      </c>
      <c r="AL1123" s="100">
        <v>0</v>
      </c>
      <c r="AM1123" s="100">
        <v>0</v>
      </c>
      <c r="AN1123" s="100">
        <v>0</v>
      </c>
      <c r="AO1123" s="100">
        <v>0</v>
      </c>
      <c r="AP1123" s="100">
        <f t="shared" si="653"/>
        <v>138051</v>
      </c>
      <c r="AQ1123" s="101">
        <f t="shared" si="654"/>
        <v>2899067</v>
      </c>
      <c r="AR1123" s="101">
        <v>0</v>
      </c>
      <c r="AS1123" s="101">
        <v>0</v>
      </c>
      <c r="AT1123" s="102" t="s">
        <v>33</v>
      </c>
      <c r="AU1123" s="109" t="s">
        <v>118</v>
      </c>
      <c r="AV1123" s="100">
        <v>0</v>
      </c>
      <c r="AW1123" s="105">
        <v>0</v>
      </c>
      <c r="AX1123" s="216">
        <f t="shared" si="671"/>
        <v>1.6492886376924643</v>
      </c>
      <c r="AY1123" s="217">
        <f t="shared" si="672"/>
        <v>45529</v>
      </c>
      <c r="AZ1123" s="107"/>
      <c r="BA1123" s="94">
        <v>45705.958333333336</v>
      </c>
      <c r="BB1123" s="94">
        <v>45705.972222222219</v>
      </c>
      <c r="BC1123" s="94">
        <v>45705.972222222219</v>
      </c>
      <c r="BD1123" s="94">
        <v>45706.142361111109</v>
      </c>
      <c r="BE1123" s="95">
        <f t="shared" si="673"/>
        <v>0.18402777777373558</v>
      </c>
      <c r="BF1123" s="95">
        <v>9.7222222222222224E-3</v>
      </c>
      <c r="BG1123" s="95">
        <v>9.7222222222222224E-3</v>
      </c>
      <c r="BH1123" s="95">
        <f t="shared" si="674"/>
        <v>1.3888888883229811E-2</v>
      </c>
      <c r="BI1123" s="95">
        <f t="shared" si="674"/>
        <v>0</v>
      </c>
      <c r="BJ1123" s="95">
        <f t="shared" si="674"/>
        <v>0.17013888889050577</v>
      </c>
      <c r="BK1123" s="95">
        <f t="shared" si="675"/>
        <v>0.17013888889050577</v>
      </c>
      <c r="BL1123" s="95">
        <f t="shared" si="676"/>
        <v>0.15069444444606134</v>
      </c>
      <c r="BM1123" s="95" t="str">
        <f t="shared" si="677"/>
        <v>00:00</v>
      </c>
      <c r="BN1123" s="110"/>
    </row>
    <row r="1124" spans="1:66" s="8" customFormat="1" ht="12.75" customHeight="1" x14ac:dyDescent="0.25">
      <c r="A1124" s="150">
        <v>1036</v>
      </c>
      <c r="B1124" s="150">
        <v>55</v>
      </c>
      <c r="C1124" s="90">
        <v>7</v>
      </c>
      <c r="D1124" s="111" t="s">
        <v>113</v>
      </c>
      <c r="E1124" s="210" t="s">
        <v>1066</v>
      </c>
      <c r="F1124" s="150" t="s">
        <v>27</v>
      </c>
      <c r="G1124" s="150" t="s">
        <v>12</v>
      </c>
      <c r="H1124" s="150" t="s">
        <v>115</v>
      </c>
      <c r="I1124" s="150" t="s">
        <v>1101</v>
      </c>
      <c r="J1124" s="151">
        <v>45706</v>
      </c>
      <c r="K1124" s="135" t="s">
        <v>122</v>
      </c>
      <c r="L1124" s="135">
        <v>282001130</v>
      </c>
      <c r="M1124" s="151">
        <v>45706</v>
      </c>
      <c r="N1124" s="152">
        <v>45706.163194444445</v>
      </c>
      <c r="O1124" s="152">
        <v>45706.163194444445</v>
      </c>
      <c r="P1124" s="152">
        <v>45706.170138888891</v>
      </c>
      <c r="Q1124" s="152">
        <v>45706.354166666664</v>
      </c>
      <c r="R1124" s="152" t="s">
        <v>118</v>
      </c>
      <c r="S1124" s="152" t="s">
        <v>118</v>
      </c>
      <c r="T1124" s="152">
        <v>45706.375</v>
      </c>
      <c r="U1124" s="152">
        <v>45706.441666666666</v>
      </c>
      <c r="V1124" s="219">
        <f t="shared" si="669"/>
        <v>0.19097222221898846</v>
      </c>
      <c r="W1124" s="203">
        <v>0.20833333333333334</v>
      </c>
      <c r="X1124" s="219" t="str">
        <f t="shared" si="670"/>
        <v>00:00</v>
      </c>
      <c r="Y1124" s="96">
        <v>0</v>
      </c>
      <c r="Z1124" s="96">
        <v>58</v>
      </c>
      <c r="AA1124" s="96">
        <f t="shared" si="664"/>
        <v>58</v>
      </c>
      <c r="AB1124" s="97">
        <f t="shared" si="665"/>
        <v>0</v>
      </c>
      <c r="AC1124" s="97">
        <f t="shared" si="666"/>
        <v>3834.1499999999996</v>
      </c>
      <c r="AD1124" s="98">
        <v>3834.15</v>
      </c>
      <c r="AE1124" s="98">
        <v>4031.2</v>
      </c>
      <c r="AF1124" s="98">
        <v>4031.2</v>
      </c>
      <c r="AG1124" s="98">
        <f t="shared" si="667"/>
        <v>197.04999999999973</v>
      </c>
      <c r="AH1124" s="99">
        <v>1586.7</v>
      </c>
      <c r="AI1124" s="100">
        <f t="shared" si="668"/>
        <v>6396305.04</v>
      </c>
      <c r="AJ1124" s="100">
        <f t="shared" ref="AJ1124:AJ1130" si="678">(0*AH1124)*2</f>
        <v>0</v>
      </c>
      <c r="AK1124" s="100">
        <v>0</v>
      </c>
      <c r="AL1124" s="100">
        <v>0</v>
      </c>
      <c r="AM1124" s="100">
        <v>0</v>
      </c>
      <c r="AN1124" s="100">
        <v>0</v>
      </c>
      <c r="AO1124" s="100">
        <f>IFERROR(AF1124*20+(((AJ1124/AH1124)/2)*20),0)</f>
        <v>80624</v>
      </c>
      <c r="AP1124" s="100">
        <f t="shared" si="653"/>
        <v>323847</v>
      </c>
      <c r="AQ1124" s="101">
        <f t="shared" si="654"/>
        <v>6800777</v>
      </c>
      <c r="AR1124" s="101">
        <v>0</v>
      </c>
      <c r="AS1124" s="101">
        <v>0</v>
      </c>
      <c r="AT1124" s="102" t="s">
        <v>33</v>
      </c>
      <c r="AU1124" s="109" t="s">
        <v>118</v>
      </c>
      <c r="AV1124" s="100">
        <v>0</v>
      </c>
      <c r="AW1124" s="105">
        <v>0</v>
      </c>
      <c r="AX1124" s="216">
        <f t="shared" si="671"/>
        <v>4.8881226433816174</v>
      </c>
      <c r="AY1124" s="217">
        <f t="shared" si="672"/>
        <v>312660</v>
      </c>
      <c r="AZ1124" s="107"/>
      <c r="BA1124" s="94">
        <v>45706.163194444445</v>
      </c>
      <c r="BB1124" s="94">
        <v>45706.170138888891</v>
      </c>
      <c r="BC1124" s="94">
        <v>45706.180555555555</v>
      </c>
      <c r="BD1124" s="94">
        <v>45706.319444444445</v>
      </c>
      <c r="BE1124" s="95">
        <f t="shared" si="673"/>
        <v>0.15625</v>
      </c>
      <c r="BF1124" s="95">
        <v>0</v>
      </c>
      <c r="BG1124" s="95">
        <v>1.0416666666666666E-2</v>
      </c>
      <c r="BH1124" s="95">
        <f t="shared" si="674"/>
        <v>6.9444444452528842E-3</v>
      </c>
      <c r="BI1124" s="95">
        <f t="shared" si="674"/>
        <v>1.0416666664241347E-2</v>
      </c>
      <c r="BJ1124" s="95">
        <f t="shared" si="674"/>
        <v>0.13888888889050577</v>
      </c>
      <c r="BK1124" s="95">
        <f t="shared" si="675"/>
        <v>0.14930555555474712</v>
      </c>
      <c r="BL1124" s="95">
        <f t="shared" si="676"/>
        <v>0.13888888888808046</v>
      </c>
      <c r="BM1124" s="95" t="str">
        <f t="shared" si="677"/>
        <v>00:00</v>
      </c>
      <c r="BN1124" s="110"/>
    </row>
    <row r="1125" spans="1:66" s="8" customFormat="1" ht="12.75" customHeight="1" x14ac:dyDescent="0.25">
      <c r="A1125" s="150">
        <v>1037</v>
      </c>
      <c r="B1125" s="150">
        <v>56</v>
      </c>
      <c r="C1125" s="90">
        <v>8</v>
      </c>
      <c r="D1125" s="111" t="s">
        <v>113</v>
      </c>
      <c r="E1125" s="210" t="s">
        <v>1066</v>
      </c>
      <c r="F1125" s="150" t="s">
        <v>27</v>
      </c>
      <c r="G1125" s="150" t="s">
        <v>12</v>
      </c>
      <c r="H1125" s="150" t="s">
        <v>115</v>
      </c>
      <c r="I1125" s="150" t="s">
        <v>792</v>
      </c>
      <c r="J1125" s="151">
        <v>45706</v>
      </c>
      <c r="K1125" s="135" t="s">
        <v>117</v>
      </c>
      <c r="L1125" s="135">
        <v>282001131</v>
      </c>
      <c r="M1125" s="151">
        <v>45707</v>
      </c>
      <c r="N1125" s="152">
        <v>45707.145833333336</v>
      </c>
      <c r="O1125" s="152">
        <v>45707.145833333336</v>
      </c>
      <c r="P1125" s="152">
        <v>45707.15625</v>
      </c>
      <c r="Q1125" s="152">
        <v>45707.34375</v>
      </c>
      <c r="R1125" s="152" t="s">
        <v>118</v>
      </c>
      <c r="S1125" s="152" t="s">
        <v>118</v>
      </c>
      <c r="T1125" s="152">
        <v>45707.375</v>
      </c>
      <c r="U1125" s="152">
        <v>45707.486111111109</v>
      </c>
      <c r="V1125" s="219">
        <f t="shared" si="669"/>
        <v>0.19791666666424135</v>
      </c>
      <c r="W1125" s="203">
        <v>0.20833333333333334</v>
      </c>
      <c r="X1125" s="219" t="str">
        <f t="shared" si="670"/>
        <v>00:00</v>
      </c>
      <c r="Y1125" s="96">
        <v>0</v>
      </c>
      <c r="Z1125" s="96">
        <v>58</v>
      </c>
      <c r="AA1125" s="96">
        <f t="shared" si="664"/>
        <v>58</v>
      </c>
      <c r="AB1125" s="97">
        <f t="shared" si="665"/>
        <v>0</v>
      </c>
      <c r="AC1125" s="97">
        <f t="shared" si="666"/>
        <v>4031.9599999999996</v>
      </c>
      <c r="AD1125" s="98">
        <v>4031.96</v>
      </c>
      <c r="AE1125" s="98">
        <v>4027.5</v>
      </c>
      <c r="AF1125" s="98">
        <v>4061.6</v>
      </c>
      <c r="AG1125" s="98">
        <f t="shared" si="667"/>
        <v>29.639999999999873</v>
      </c>
      <c r="AH1125" s="99">
        <v>1586.7</v>
      </c>
      <c r="AI1125" s="100">
        <f t="shared" si="668"/>
        <v>6444540.7199999997</v>
      </c>
      <c r="AJ1125" s="100">
        <f t="shared" si="678"/>
        <v>0</v>
      </c>
      <c r="AK1125" s="100">
        <v>0</v>
      </c>
      <c r="AL1125" s="100">
        <v>24140</v>
      </c>
      <c r="AM1125" s="100">
        <v>0</v>
      </c>
      <c r="AN1125" s="100">
        <v>0</v>
      </c>
      <c r="AO1125" s="100">
        <f>IFERROR(AF1125*20+(((AJ1125/AH1125)/2)*20),0)</f>
        <v>81232</v>
      </c>
      <c r="AP1125" s="100">
        <f t="shared" si="653"/>
        <v>327496</v>
      </c>
      <c r="AQ1125" s="101">
        <f t="shared" si="654"/>
        <v>6877409</v>
      </c>
      <c r="AR1125" s="101">
        <v>0</v>
      </c>
      <c r="AS1125" s="101">
        <v>0</v>
      </c>
      <c r="AT1125" s="102" t="s">
        <v>33</v>
      </c>
      <c r="AU1125" s="109">
        <v>25</v>
      </c>
      <c r="AV1125" s="100">
        <f>61.57-29.07</f>
        <v>32.5</v>
      </c>
      <c r="AW1125" s="105">
        <v>0</v>
      </c>
      <c r="AX1125" s="216">
        <f t="shared" si="671"/>
        <v>0.72976167027771988</v>
      </c>
      <c r="AY1125" s="217">
        <f t="shared" si="672"/>
        <v>47030</v>
      </c>
      <c r="AZ1125" s="107"/>
      <c r="BA1125" s="94">
        <v>45707.145833333336</v>
      </c>
      <c r="BB1125" s="94">
        <v>45707.145833333336</v>
      </c>
      <c r="BC1125" s="94">
        <v>45707.15625</v>
      </c>
      <c r="BD1125" s="94">
        <v>45707.314583333333</v>
      </c>
      <c r="BE1125" s="95">
        <f t="shared" si="673"/>
        <v>0.16874999999708962</v>
      </c>
      <c r="BF1125" s="95">
        <v>0</v>
      </c>
      <c r="BG1125" s="95">
        <v>0</v>
      </c>
      <c r="BH1125" s="95">
        <f t="shared" si="674"/>
        <v>0</v>
      </c>
      <c r="BI1125" s="95">
        <f t="shared" si="674"/>
        <v>1.0416666664241347E-2</v>
      </c>
      <c r="BJ1125" s="95">
        <f t="shared" si="674"/>
        <v>0.15833333333284827</v>
      </c>
      <c r="BK1125" s="95">
        <f t="shared" si="675"/>
        <v>0.16874999999708962</v>
      </c>
      <c r="BL1125" s="95">
        <f t="shared" si="676"/>
        <v>0.16874999999708962</v>
      </c>
      <c r="BM1125" s="95" t="str">
        <f t="shared" si="677"/>
        <v>00:00</v>
      </c>
      <c r="BN1125" s="110"/>
    </row>
    <row r="1126" spans="1:66" s="8" customFormat="1" ht="12.75" customHeight="1" x14ac:dyDescent="0.25">
      <c r="A1126" s="150">
        <v>1038</v>
      </c>
      <c r="B1126" s="150">
        <v>57</v>
      </c>
      <c r="C1126" s="90">
        <v>9</v>
      </c>
      <c r="D1126" s="111" t="s">
        <v>113</v>
      </c>
      <c r="E1126" s="210" t="s">
        <v>1066</v>
      </c>
      <c r="F1126" s="150" t="s">
        <v>27</v>
      </c>
      <c r="G1126" s="150" t="s">
        <v>12</v>
      </c>
      <c r="H1126" s="150" t="s">
        <v>115</v>
      </c>
      <c r="I1126" s="150" t="s">
        <v>790</v>
      </c>
      <c r="J1126" s="151">
        <v>45707</v>
      </c>
      <c r="K1126" s="135" t="s">
        <v>117</v>
      </c>
      <c r="L1126" s="135">
        <v>282001132</v>
      </c>
      <c r="M1126" s="151">
        <v>45708</v>
      </c>
      <c r="N1126" s="152">
        <v>45707.71875</v>
      </c>
      <c r="O1126" s="152">
        <v>45707.71875</v>
      </c>
      <c r="P1126" s="152">
        <v>45707.725694444445</v>
      </c>
      <c r="Q1126" s="152">
        <v>45707.916666666664</v>
      </c>
      <c r="R1126" s="152" t="s">
        <v>118</v>
      </c>
      <c r="S1126" s="152" t="s">
        <v>118</v>
      </c>
      <c r="T1126" s="152">
        <v>45707.927083333336</v>
      </c>
      <c r="U1126" s="152">
        <v>45708.111111111109</v>
      </c>
      <c r="V1126" s="219">
        <f t="shared" si="669"/>
        <v>0.19791666666424135</v>
      </c>
      <c r="W1126" s="203">
        <v>0.20833333333333334</v>
      </c>
      <c r="X1126" s="219" t="str">
        <f t="shared" si="670"/>
        <v>00:00</v>
      </c>
      <c r="Y1126" s="96">
        <v>0</v>
      </c>
      <c r="Z1126" s="96">
        <v>57</v>
      </c>
      <c r="AA1126" s="96">
        <f t="shared" si="664"/>
        <v>57</v>
      </c>
      <c r="AB1126" s="97">
        <f t="shared" si="665"/>
        <v>0</v>
      </c>
      <c r="AC1126" s="97">
        <f t="shared" si="666"/>
        <v>3991.8800000000006</v>
      </c>
      <c r="AD1126" s="98">
        <v>3991.88</v>
      </c>
      <c r="AE1126" s="98">
        <v>3973.7</v>
      </c>
      <c r="AF1126" s="98">
        <v>4007</v>
      </c>
      <c r="AG1126" s="98">
        <f t="shared" si="667"/>
        <v>15.119999999999891</v>
      </c>
      <c r="AH1126" s="99">
        <v>1586.7</v>
      </c>
      <c r="AI1126" s="100">
        <f t="shared" si="668"/>
        <v>6357906.9000000004</v>
      </c>
      <c r="AJ1126" s="100">
        <f t="shared" si="678"/>
        <v>0</v>
      </c>
      <c r="AK1126" s="100">
        <v>0</v>
      </c>
      <c r="AL1126" s="100">
        <v>23990</v>
      </c>
      <c r="AM1126" s="100">
        <v>0</v>
      </c>
      <c r="AN1126" s="100">
        <v>0</v>
      </c>
      <c r="AO1126" s="100">
        <f>IFERROR(AF1126*20+(((AJ1126/AH1126)/2)*20),0)</f>
        <v>80140</v>
      </c>
      <c r="AP1126" s="100">
        <f t="shared" si="653"/>
        <v>323102</v>
      </c>
      <c r="AQ1126" s="101">
        <f t="shared" si="654"/>
        <v>6785139</v>
      </c>
      <c r="AR1126" s="101">
        <v>0</v>
      </c>
      <c r="AS1126" s="101">
        <v>0</v>
      </c>
      <c r="AT1126" s="102" t="s">
        <v>33</v>
      </c>
      <c r="AU1126" s="109">
        <v>21</v>
      </c>
      <c r="AV1126" s="100">
        <f>44.03-29.03</f>
        <v>15</v>
      </c>
      <c r="AW1126" s="105">
        <v>0</v>
      </c>
      <c r="AX1126" s="216">
        <f t="shared" si="671"/>
        <v>0.37733965560269256</v>
      </c>
      <c r="AY1126" s="217">
        <f t="shared" si="672"/>
        <v>23991</v>
      </c>
      <c r="AZ1126" s="107"/>
      <c r="BA1126" s="94">
        <v>45707.71875</v>
      </c>
      <c r="BB1126" s="94">
        <v>45707.725694444445</v>
      </c>
      <c r="BC1126" s="94">
        <v>45707.725694444445</v>
      </c>
      <c r="BD1126" s="94">
        <v>45707.890277777777</v>
      </c>
      <c r="BE1126" s="95">
        <f t="shared" si="673"/>
        <v>0.17152777777664596</v>
      </c>
      <c r="BF1126" s="95">
        <v>1.7361111111111112E-2</v>
      </c>
      <c r="BG1126" s="95">
        <v>0</v>
      </c>
      <c r="BH1126" s="95">
        <f t="shared" si="674"/>
        <v>6.9444444452528842E-3</v>
      </c>
      <c r="BI1126" s="95">
        <f t="shared" si="674"/>
        <v>0</v>
      </c>
      <c r="BJ1126" s="95">
        <f t="shared" si="674"/>
        <v>0.16458333333139308</v>
      </c>
      <c r="BK1126" s="95">
        <f t="shared" si="675"/>
        <v>0.16458333333139308</v>
      </c>
      <c r="BL1126" s="95">
        <f t="shared" si="676"/>
        <v>0.14722222222028197</v>
      </c>
      <c r="BM1126" s="95" t="str">
        <f t="shared" si="677"/>
        <v>00:00</v>
      </c>
      <c r="BN1126" s="110"/>
    </row>
    <row r="1127" spans="1:66" s="8" customFormat="1" ht="12.75" customHeight="1" x14ac:dyDescent="0.25">
      <c r="A1127" s="150">
        <v>1039</v>
      </c>
      <c r="B1127" s="150">
        <v>58</v>
      </c>
      <c r="C1127" s="90">
        <v>10</v>
      </c>
      <c r="D1127" s="111" t="s">
        <v>113</v>
      </c>
      <c r="E1127" s="210" t="s">
        <v>1066</v>
      </c>
      <c r="F1127" s="150" t="s">
        <v>27</v>
      </c>
      <c r="G1127" s="150" t="s">
        <v>12</v>
      </c>
      <c r="H1127" s="150" t="s">
        <v>115</v>
      </c>
      <c r="I1127" s="150" t="s">
        <v>1102</v>
      </c>
      <c r="J1127" s="151">
        <v>45708</v>
      </c>
      <c r="K1127" s="135" t="s">
        <v>117</v>
      </c>
      <c r="L1127" s="135">
        <v>282001133</v>
      </c>
      <c r="M1127" s="151">
        <v>45709</v>
      </c>
      <c r="N1127" s="152">
        <v>45708.34375</v>
      </c>
      <c r="O1127" s="152">
        <v>45708.34375</v>
      </c>
      <c r="P1127" s="152">
        <v>45708.354166666664</v>
      </c>
      <c r="Q1127" s="152">
        <v>45708.520833333336</v>
      </c>
      <c r="R1127" s="152" t="s">
        <v>118</v>
      </c>
      <c r="S1127" s="152" t="s">
        <v>118</v>
      </c>
      <c r="T1127" s="152">
        <v>45708.555555555555</v>
      </c>
      <c r="U1127" s="152">
        <v>45708.694444444445</v>
      </c>
      <c r="V1127" s="219">
        <f t="shared" si="669"/>
        <v>0.17708333333575865</v>
      </c>
      <c r="W1127" s="203">
        <v>0.20833333333333334</v>
      </c>
      <c r="X1127" s="219" t="str">
        <f t="shared" si="670"/>
        <v>00:00</v>
      </c>
      <c r="Y1127" s="96">
        <v>0</v>
      </c>
      <c r="Z1127" s="96">
        <v>58</v>
      </c>
      <c r="AA1127" s="96">
        <f t="shared" si="664"/>
        <v>58</v>
      </c>
      <c r="AB1127" s="97">
        <f t="shared" si="665"/>
        <v>0</v>
      </c>
      <c r="AC1127" s="97">
        <f t="shared" si="666"/>
        <v>4038.64</v>
      </c>
      <c r="AD1127" s="98">
        <v>4038.64</v>
      </c>
      <c r="AE1127" s="98">
        <v>4043.1</v>
      </c>
      <c r="AF1127" s="98">
        <v>4071</v>
      </c>
      <c r="AG1127" s="98">
        <f t="shared" si="667"/>
        <v>32.360000000000127</v>
      </c>
      <c r="AH1127" s="99">
        <v>1586.7</v>
      </c>
      <c r="AI1127" s="100">
        <f t="shared" si="668"/>
        <v>6459455.7000000002</v>
      </c>
      <c r="AJ1127" s="100">
        <f t="shared" si="678"/>
        <v>0</v>
      </c>
      <c r="AK1127" s="100">
        <v>0</v>
      </c>
      <c r="AL1127" s="100">
        <v>24140</v>
      </c>
      <c r="AM1127" s="100">
        <v>0</v>
      </c>
      <c r="AN1127" s="100">
        <v>0</v>
      </c>
      <c r="AO1127" s="100">
        <f>IFERROR(AF1127*20+(((AJ1127/AH1127)/2)*20),0)</f>
        <v>81420</v>
      </c>
      <c r="AP1127" s="100">
        <f t="shared" si="653"/>
        <v>328251</v>
      </c>
      <c r="AQ1127" s="101">
        <f t="shared" si="654"/>
        <v>6893267</v>
      </c>
      <c r="AR1127" s="101">
        <v>0</v>
      </c>
      <c r="AS1127" s="101">
        <v>0</v>
      </c>
      <c r="AT1127" s="102" t="s">
        <v>33</v>
      </c>
      <c r="AU1127" s="109">
        <v>15</v>
      </c>
      <c r="AV1127" s="100">
        <f>39.29-25.29</f>
        <v>14</v>
      </c>
      <c r="AW1127" s="105">
        <v>0</v>
      </c>
      <c r="AX1127" s="216">
        <f t="shared" si="671"/>
        <v>0.79489069024809944</v>
      </c>
      <c r="AY1127" s="217">
        <f t="shared" si="672"/>
        <v>51346</v>
      </c>
      <c r="AZ1127" s="107"/>
      <c r="BA1127" s="94">
        <v>45708.34375</v>
      </c>
      <c r="BB1127" s="94">
        <v>45708.354166666664</v>
      </c>
      <c r="BC1127" s="94">
        <v>45708.354166666664</v>
      </c>
      <c r="BD1127" s="94">
        <v>45708.503472222219</v>
      </c>
      <c r="BE1127" s="95">
        <f t="shared" si="673"/>
        <v>0.15972222221898846</v>
      </c>
      <c r="BF1127" s="95">
        <v>0</v>
      </c>
      <c r="BG1127" s="95">
        <v>0</v>
      </c>
      <c r="BH1127" s="95">
        <f t="shared" si="674"/>
        <v>1.0416666664241347E-2</v>
      </c>
      <c r="BI1127" s="95">
        <f t="shared" si="674"/>
        <v>0</v>
      </c>
      <c r="BJ1127" s="95">
        <f t="shared" si="674"/>
        <v>0.14930555555474712</v>
      </c>
      <c r="BK1127" s="95">
        <f t="shared" si="675"/>
        <v>0.14930555555474712</v>
      </c>
      <c r="BL1127" s="95">
        <f t="shared" si="676"/>
        <v>0.14930555555474712</v>
      </c>
      <c r="BM1127" s="95" t="str">
        <f t="shared" si="677"/>
        <v>00:00</v>
      </c>
      <c r="BN1127" s="110"/>
    </row>
    <row r="1128" spans="1:66" s="8" customFormat="1" ht="12.75" customHeight="1" x14ac:dyDescent="0.25">
      <c r="A1128" s="150">
        <v>1040</v>
      </c>
      <c r="B1128" s="150">
        <v>59</v>
      </c>
      <c r="C1128" s="90">
        <v>14</v>
      </c>
      <c r="D1128" s="111" t="s">
        <v>113</v>
      </c>
      <c r="E1128" s="210" t="s">
        <v>948</v>
      </c>
      <c r="F1128" s="150" t="s">
        <v>14</v>
      </c>
      <c r="G1128" s="150" t="s">
        <v>15</v>
      </c>
      <c r="H1128" s="150" t="s">
        <v>779</v>
      </c>
      <c r="I1128" s="150" t="s">
        <v>1103</v>
      </c>
      <c r="J1128" s="151">
        <v>45708</v>
      </c>
      <c r="K1128" s="135" t="s">
        <v>117</v>
      </c>
      <c r="L1128" s="135">
        <v>281000286</v>
      </c>
      <c r="M1128" s="151">
        <v>45709</v>
      </c>
      <c r="N1128" s="152">
        <v>45708.746527777781</v>
      </c>
      <c r="O1128" s="152">
        <v>45708.746527777781</v>
      </c>
      <c r="P1128" s="152">
        <v>45708.763888888891</v>
      </c>
      <c r="Q1128" s="152">
        <v>45708.947916666664</v>
      </c>
      <c r="R1128" s="152" t="s">
        <v>118</v>
      </c>
      <c r="S1128" s="152" t="s">
        <v>118</v>
      </c>
      <c r="T1128" s="152">
        <v>45708.958333333336</v>
      </c>
      <c r="U1128" s="152">
        <v>45709.113194444442</v>
      </c>
      <c r="V1128" s="219">
        <f t="shared" si="669"/>
        <v>0.20138888888322981</v>
      </c>
      <c r="W1128" s="203">
        <v>0.20833333333333334</v>
      </c>
      <c r="X1128" s="219" t="str">
        <f t="shared" si="670"/>
        <v>00:00</v>
      </c>
      <c r="Y1128" s="96">
        <v>0</v>
      </c>
      <c r="Z1128" s="96">
        <v>59</v>
      </c>
      <c r="AA1128" s="96">
        <f t="shared" si="664"/>
        <v>59</v>
      </c>
      <c r="AB1128" s="97">
        <f t="shared" si="665"/>
        <v>0</v>
      </c>
      <c r="AC1128" s="97">
        <f t="shared" si="666"/>
        <v>3926.59</v>
      </c>
      <c r="AD1128" s="98">
        <v>3926.59</v>
      </c>
      <c r="AE1128" s="98">
        <v>4095.4</v>
      </c>
      <c r="AF1128" s="98">
        <v>4095.4</v>
      </c>
      <c r="AG1128" s="98">
        <f t="shared" si="667"/>
        <v>168.80999999999995</v>
      </c>
      <c r="AH1128" s="99">
        <v>1435.6</v>
      </c>
      <c r="AI1128" s="100">
        <f t="shared" si="668"/>
        <v>5879356.2400000002</v>
      </c>
      <c r="AJ1128" s="100">
        <f t="shared" si="678"/>
        <v>0</v>
      </c>
      <c r="AK1128" s="100">
        <v>0</v>
      </c>
      <c r="AL1128" s="100">
        <v>0</v>
      </c>
      <c r="AM1128" s="100">
        <v>0</v>
      </c>
      <c r="AN1128" s="100">
        <v>0</v>
      </c>
      <c r="AO1128" s="100">
        <v>0</v>
      </c>
      <c r="AP1128" s="100">
        <f t="shared" si="653"/>
        <v>293968</v>
      </c>
      <c r="AQ1128" s="101">
        <f t="shared" si="654"/>
        <v>6173325</v>
      </c>
      <c r="AR1128" s="101">
        <v>0</v>
      </c>
      <c r="AS1128" s="101">
        <v>0</v>
      </c>
      <c r="AT1128" s="102" t="s">
        <v>33</v>
      </c>
      <c r="AU1128" s="109" t="s">
        <v>118</v>
      </c>
      <c r="AV1128" s="100">
        <v>0</v>
      </c>
      <c r="AW1128" s="105">
        <v>0</v>
      </c>
      <c r="AX1128" s="216">
        <f t="shared" si="671"/>
        <v>4.1219416906773434</v>
      </c>
      <c r="AY1128" s="217">
        <f t="shared" si="672"/>
        <v>242344</v>
      </c>
      <c r="AZ1128" s="107"/>
      <c r="BA1128" s="94">
        <v>45708.746527777781</v>
      </c>
      <c r="BB1128" s="94">
        <v>45708.763888888891</v>
      </c>
      <c r="BC1128" s="94">
        <v>45708.763888888891</v>
      </c>
      <c r="BD1128" s="94">
        <v>45708.902777777781</v>
      </c>
      <c r="BE1128" s="95">
        <f t="shared" si="673"/>
        <v>0.15625</v>
      </c>
      <c r="BF1128" s="95">
        <v>0</v>
      </c>
      <c r="BG1128" s="95">
        <v>3.4722222222222224E-2</v>
      </c>
      <c r="BH1128" s="95">
        <f t="shared" si="674"/>
        <v>1.7361111109494232E-2</v>
      </c>
      <c r="BI1128" s="95">
        <f t="shared" si="674"/>
        <v>0</v>
      </c>
      <c r="BJ1128" s="95">
        <f t="shared" si="674"/>
        <v>0.13888888889050577</v>
      </c>
      <c r="BK1128" s="95">
        <f t="shared" si="675"/>
        <v>0.13888888889050577</v>
      </c>
      <c r="BL1128" s="95">
        <f t="shared" si="676"/>
        <v>0.10416666666828354</v>
      </c>
      <c r="BM1128" s="95" t="str">
        <f t="shared" si="677"/>
        <v>00:00</v>
      </c>
      <c r="BN1128" s="110"/>
    </row>
    <row r="1129" spans="1:66" s="8" customFormat="1" ht="12.75" customHeight="1" x14ac:dyDescent="0.25">
      <c r="A1129" s="115">
        <v>1041</v>
      </c>
      <c r="B1129" s="115">
        <v>60</v>
      </c>
      <c r="C1129" s="90">
        <v>11</v>
      </c>
      <c r="D1129" s="115" t="s">
        <v>113</v>
      </c>
      <c r="E1129" s="210" t="s">
        <v>1066</v>
      </c>
      <c r="F1129" s="115" t="s">
        <v>27</v>
      </c>
      <c r="G1129" s="115" t="s">
        <v>12</v>
      </c>
      <c r="H1129" s="115" t="s">
        <v>115</v>
      </c>
      <c r="I1129" s="115" t="s">
        <v>1104</v>
      </c>
      <c r="J1129" s="117">
        <v>45709</v>
      </c>
      <c r="K1129" s="116" t="s">
        <v>117</v>
      </c>
      <c r="L1129" s="116">
        <v>282001134</v>
      </c>
      <c r="M1129" s="117">
        <v>45710</v>
      </c>
      <c r="N1129" s="118">
        <v>45709.388888888891</v>
      </c>
      <c r="O1129" s="118">
        <v>45709.388888888891</v>
      </c>
      <c r="P1129" s="118">
        <v>45709.40625</v>
      </c>
      <c r="Q1129" s="118">
        <v>45709.597222222219</v>
      </c>
      <c r="R1129" s="118" t="s">
        <v>118</v>
      </c>
      <c r="S1129" s="118" t="s">
        <v>118</v>
      </c>
      <c r="T1129" s="118">
        <v>45709.625</v>
      </c>
      <c r="U1129" s="118">
        <v>45709.725694444445</v>
      </c>
      <c r="V1129" s="119">
        <f t="shared" si="669"/>
        <v>0.20833333332848269</v>
      </c>
      <c r="W1129" s="185">
        <v>0.20833333333333334</v>
      </c>
      <c r="X1129" s="119" t="str">
        <f t="shared" si="670"/>
        <v>00:00</v>
      </c>
      <c r="Y1129" s="96">
        <v>0</v>
      </c>
      <c r="Z1129" s="96">
        <v>32</v>
      </c>
      <c r="AA1129" s="96">
        <f t="shared" si="664"/>
        <v>32</v>
      </c>
      <c r="AB1129" s="97">
        <f t="shared" si="665"/>
        <v>0</v>
      </c>
      <c r="AC1129" s="97">
        <f t="shared" si="666"/>
        <v>2215.6799999999998</v>
      </c>
      <c r="AD1129" s="98">
        <f>4021.2-1805.52</f>
        <v>2215.6799999999998</v>
      </c>
      <c r="AE1129" s="98">
        <f>4038.8-1808</f>
        <v>2230.8000000000002</v>
      </c>
      <c r="AF1129" s="98">
        <f>4059.2-1820.13</f>
        <v>2239.0699999999997</v>
      </c>
      <c r="AG1129" s="98">
        <f t="shared" si="667"/>
        <v>23.389999999999873</v>
      </c>
      <c r="AH1129" s="99">
        <v>1586.7</v>
      </c>
      <c r="AI1129" s="100">
        <f t="shared" si="668"/>
        <v>3552732.3689999995</v>
      </c>
      <c r="AJ1129" s="100">
        <f t="shared" si="678"/>
        <v>0</v>
      </c>
      <c r="AK1129" s="100">
        <v>0</v>
      </c>
      <c r="AL1129" s="100">
        <v>24140</v>
      </c>
      <c r="AM1129" s="100">
        <v>0</v>
      </c>
      <c r="AN1129" s="100">
        <v>0</v>
      </c>
      <c r="AO1129" s="100">
        <f>IFERROR(AF1129*20+(((AJ1129/AH1129)/2)*20),0)</f>
        <v>44781.399999999994</v>
      </c>
      <c r="AP1129" s="100">
        <f>ROUNDUP(SUM(AI1129:AO1129)*5%,0)-1</f>
        <v>181082</v>
      </c>
      <c r="AQ1129" s="101">
        <f t="shared" si="654"/>
        <v>3802736</v>
      </c>
      <c r="AR1129" s="101">
        <v>0</v>
      </c>
      <c r="AS1129" s="101">
        <v>0</v>
      </c>
      <c r="AT1129" s="137" t="s">
        <v>33</v>
      </c>
      <c r="AU1129" s="120">
        <v>11</v>
      </c>
      <c r="AV1129" s="121">
        <f>27.07-17.57</f>
        <v>9.5</v>
      </c>
      <c r="AW1129" s="105">
        <v>0</v>
      </c>
      <c r="AX1129" s="140">
        <f>IFERROR(((AG1129+AG1130)/(AF1129+AF1130))*100, "")</f>
        <v>0.93614505321245567</v>
      </c>
      <c r="AY1129" s="141">
        <f>ROUNDUP((AG1129+AG1130)*AH1129,0)</f>
        <v>60295</v>
      </c>
      <c r="AZ1129" s="107"/>
      <c r="BA1129" s="118">
        <v>45709.388888888891</v>
      </c>
      <c r="BB1129" s="118">
        <v>45709.40625</v>
      </c>
      <c r="BC1129" s="118">
        <v>45709.423611111109</v>
      </c>
      <c r="BD1129" s="118">
        <v>45709.618055555555</v>
      </c>
      <c r="BE1129" s="119">
        <f t="shared" si="673"/>
        <v>0.22916666666424135</v>
      </c>
      <c r="BF1129" s="119">
        <v>2.361111111111111E-2</v>
      </c>
      <c r="BG1129" s="119">
        <v>3.5416666666666666E-2</v>
      </c>
      <c r="BH1129" s="119">
        <f t="shared" si="674"/>
        <v>1.7361111109494232E-2</v>
      </c>
      <c r="BI1129" s="119">
        <f t="shared" si="674"/>
        <v>1.7361111109494232E-2</v>
      </c>
      <c r="BJ1129" s="119">
        <f t="shared" si="674"/>
        <v>0.19444444444525288</v>
      </c>
      <c r="BK1129" s="119">
        <f t="shared" si="675"/>
        <v>0.21180555555474712</v>
      </c>
      <c r="BL1129" s="119">
        <f t="shared" si="676"/>
        <v>0.15277777777696933</v>
      </c>
      <c r="BM1129" s="119">
        <f t="shared" si="677"/>
        <v>2.0833333330908005E-2</v>
      </c>
      <c r="BN1129" s="110" t="s">
        <v>1105</v>
      </c>
    </row>
    <row r="1130" spans="1:66" s="8" customFormat="1" ht="12.75" customHeight="1" x14ac:dyDescent="0.25">
      <c r="A1130" s="122"/>
      <c r="B1130" s="122"/>
      <c r="C1130" s="90">
        <v>4</v>
      </c>
      <c r="D1130" s="122"/>
      <c r="E1130" s="210" t="s">
        <v>1082</v>
      </c>
      <c r="F1130" s="122"/>
      <c r="G1130" s="122"/>
      <c r="H1130" s="122"/>
      <c r="I1130" s="122"/>
      <c r="J1130" s="124"/>
      <c r="K1130" s="123"/>
      <c r="L1130" s="123"/>
      <c r="M1130" s="124"/>
      <c r="N1130" s="125"/>
      <c r="O1130" s="125"/>
      <c r="P1130" s="125"/>
      <c r="Q1130" s="125"/>
      <c r="R1130" s="125"/>
      <c r="S1130" s="125"/>
      <c r="T1130" s="125"/>
      <c r="U1130" s="125"/>
      <c r="V1130" s="126"/>
      <c r="W1130" s="189"/>
      <c r="X1130" s="126"/>
      <c r="Y1130" s="96">
        <v>0</v>
      </c>
      <c r="Z1130" s="96">
        <v>26</v>
      </c>
      <c r="AA1130" s="96">
        <f t="shared" si="664"/>
        <v>26</v>
      </c>
      <c r="AB1130" s="97">
        <f t="shared" si="665"/>
        <v>0</v>
      </c>
      <c r="AC1130" s="97">
        <f t="shared" si="666"/>
        <v>1805.5199999999998</v>
      </c>
      <c r="AD1130" s="98">
        <v>1805.52</v>
      </c>
      <c r="AE1130" s="98">
        <v>1808</v>
      </c>
      <c r="AF1130" s="98">
        <v>1820.13</v>
      </c>
      <c r="AG1130" s="98">
        <f t="shared" si="667"/>
        <v>14.610000000000127</v>
      </c>
      <c r="AH1130" s="99">
        <v>1586.7</v>
      </c>
      <c r="AI1130" s="100">
        <f t="shared" si="668"/>
        <v>2888000.2710000002</v>
      </c>
      <c r="AJ1130" s="100">
        <f t="shared" si="678"/>
        <v>0</v>
      </c>
      <c r="AK1130" s="100">
        <v>0</v>
      </c>
      <c r="AL1130" s="100">
        <v>0</v>
      </c>
      <c r="AM1130" s="100">
        <v>0</v>
      </c>
      <c r="AN1130" s="100">
        <v>0</v>
      </c>
      <c r="AO1130" s="100">
        <f>IFERROR(AF1130*20+(((AJ1130/AH1130)/2)*20),0)</f>
        <v>36402.600000000006</v>
      </c>
      <c r="AP1130" s="100">
        <f>ROUNDUP(SUM(AI1130:AO1130)*5%,0)</f>
        <v>146221</v>
      </c>
      <c r="AQ1130" s="101">
        <f t="shared" si="654"/>
        <v>3070624</v>
      </c>
      <c r="AR1130" s="101">
        <v>0</v>
      </c>
      <c r="AS1130" s="101">
        <v>0</v>
      </c>
      <c r="AT1130" s="138"/>
      <c r="AU1130" s="127"/>
      <c r="AV1130" s="128"/>
      <c r="AW1130" s="105">
        <v>0</v>
      </c>
      <c r="AX1130" s="144"/>
      <c r="AY1130" s="145"/>
      <c r="AZ1130" s="107"/>
      <c r="BA1130" s="125"/>
      <c r="BB1130" s="125"/>
      <c r="BC1130" s="125"/>
      <c r="BD1130" s="125"/>
      <c r="BE1130" s="126"/>
      <c r="BF1130" s="126"/>
      <c r="BG1130" s="126"/>
      <c r="BH1130" s="126"/>
      <c r="BI1130" s="126"/>
      <c r="BJ1130" s="126"/>
      <c r="BK1130" s="126"/>
      <c r="BL1130" s="126"/>
      <c r="BM1130" s="126"/>
      <c r="BN1130" s="110" t="s">
        <v>1106</v>
      </c>
    </row>
    <row r="1131" spans="1:66" s="8" customFormat="1" ht="12.75" customHeight="1" x14ac:dyDescent="0.25">
      <c r="A1131" s="150">
        <v>1042</v>
      </c>
      <c r="B1131" s="150">
        <v>61</v>
      </c>
      <c r="C1131" s="90">
        <v>15</v>
      </c>
      <c r="D1131" s="111" t="s">
        <v>113</v>
      </c>
      <c r="E1131" s="210" t="s">
        <v>948</v>
      </c>
      <c r="F1131" s="150" t="s">
        <v>14</v>
      </c>
      <c r="G1131" s="150" t="s">
        <v>15</v>
      </c>
      <c r="H1131" s="150" t="s">
        <v>779</v>
      </c>
      <c r="I1131" s="150" t="s">
        <v>1107</v>
      </c>
      <c r="J1131" s="151">
        <v>45709</v>
      </c>
      <c r="K1131" s="135" t="s">
        <v>117</v>
      </c>
      <c r="L1131" s="135">
        <v>281000287</v>
      </c>
      <c r="M1131" s="151">
        <v>45710</v>
      </c>
      <c r="N1131" s="152">
        <v>45709.777777777781</v>
      </c>
      <c r="O1131" s="152">
        <v>45709.777777777781</v>
      </c>
      <c r="P1131" s="152">
        <v>45709.784722222219</v>
      </c>
      <c r="Q1131" s="152">
        <v>45709.958333333336</v>
      </c>
      <c r="R1131" s="152" t="s">
        <v>118</v>
      </c>
      <c r="S1131" s="152" t="s">
        <v>118</v>
      </c>
      <c r="T1131" s="152">
        <v>45709.979166666664</v>
      </c>
      <c r="U1131" s="152">
        <v>45710.097222222219</v>
      </c>
      <c r="V1131" s="219">
        <f>+Q1131-O1131</f>
        <v>0.18055555555474712</v>
      </c>
      <c r="W1131" s="203">
        <v>0.20833333333333334</v>
      </c>
      <c r="X1131" s="219" t="str">
        <f>IF(VALUE(V1131)&lt;=VALUE("05:00"),"00:00",VALUE(V1131)-VALUE("05:00"))</f>
        <v>00:00</v>
      </c>
      <c r="Y1131" s="96">
        <v>0</v>
      </c>
      <c r="Z1131" s="96">
        <v>59</v>
      </c>
      <c r="AA1131" s="96">
        <f t="shared" si="664"/>
        <v>59</v>
      </c>
      <c r="AB1131" s="97">
        <f t="shared" si="665"/>
        <v>0</v>
      </c>
      <c r="AC1131" s="97">
        <f t="shared" si="666"/>
        <v>3938.5000000000005</v>
      </c>
      <c r="AD1131" s="98">
        <v>3938.5</v>
      </c>
      <c r="AE1131" s="98">
        <v>4100.5</v>
      </c>
      <c r="AF1131" s="98">
        <v>4101.6000000000004</v>
      </c>
      <c r="AG1131" s="98">
        <f t="shared" si="667"/>
        <v>163.10000000000036</v>
      </c>
      <c r="AH1131" s="99">
        <v>1435.6</v>
      </c>
      <c r="AI1131" s="100">
        <f t="shared" si="668"/>
        <v>5888256.96</v>
      </c>
      <c r="AJ1131" s="100">
        <f>(0.4*AH1131)*2</f>
        <v>1148.48</v>
      </c>
      <c r="AK1131" s="100">
        <v>0</v>
      </c>
      <c r="AL1131" s="100">
        <v>0</v>
      </c>
      <c r="AM1131" s="100">
        <v>0</v>
      </c>
      <c r="AN1131" s="100">
        <v>0</v>
      </c>
      <c r="AO1131" s="100">
        <v>0</v>
      </c>
      <c r="AP1131" s="100">
        <f>ROUNDUP(SUM(AI1131:AO1131)*5%,0)</f>
        <v>294471</v>
      </c>
      <c r="AQ1131" s="101">
        <f t="shared" si="654"/>
        <v>6183877</v>
      </c>
      <c r="AR1131" s="101">
        <v>0</v>
      </c>
      <c r="AS1131" s="101">
        <v>0</v>
      </c>
      <c r="AT1131" s="102" t="s">
        <v>33</v>
      </c>
      <c r="AU1131" s="109" t="s">
        <v>118</v>
      </c>
      <c r="AV1131" s="100">
        <v>0</v>
      </c>
      <c r="AW1131" s="105">
        <v>0</v>
      </c>
      <c r="AX1131" s="216">
        <f>IFERROR((AG1131/AF1131)*100, "")</f>
        <v>3.9764969767895542</v>
      </c>
      <c r="AY1131" s="217">
        <f>ROUNDUP(AG1131*AH1131,0)</f>
        <v>234147</v>
      </c>
      <c r="AZ1131" s="107"/>
      <c r="BA1131" s="94">
        <v>45709.777777777781</v>
      </c>
      <c r="BB1131" s="94">
        <v>45709.784722222219</v>
      </c>
      <c r="BC1131" s="94">
        <v>45709.784722222219</v>
      </c>
      <c r="BD1131" s="94">
        <v>45709.942361111112</v>
      </c>
      <c r="BE1131" s="95">
        <f>+BD1131-BA1131</f>
        <v>0.16458333333139308</v>
      </c>
      <c r="BF1131" s="95">
        <v>2.0833333333333333E-3</v>
      </c>
      <c r="BG1131" s="95">
        <v>4.791666666666667E-2</v>
      </c>
      <c r="BH1131" s="95">
        <f t="shared" ref="BH1131:BJ1132" si="679">+BB1131-BA1131</f>
        <v>6.9444444379769266E-3</v>
      </c>
      <c r="BI1131" s="95">
        <f t="shared" si="679"/>
        <v>0</v>
      </c>
      <c r="BJ1131" s="95">
        <f t="shared" si="679"/>
        <v>0.15763888889341615</v>
      </c>
      <c r="BK1131" s="95">
        <f>+BI1131+BJ1131</f>
        <v>0.15763888889341615</v>
      </c>
      <c r="BL1131" s="95">
        <f>+BE1131-BH1131-BF1131-BG1131</f>
        <v>0.10763888889341616</v>
      </c>
      <c r="BM1131" s="95" t="str">
        <f>IF(VALUE(BE1131)&lt;=VALUE("05:00"),"00:00",VALUE(BE1131)-VALUE("05:00"))</f>
        <v>00:00</v>
      </c>
      <c r="BN1131" s="110"/>
    </row>
    <row r="1132" spans="1:66" s="8" customFormat="1" ht="12.75" customHeight="1" x14ac:dyDescent="0.25">
      <c r="A1132" s="115">
        <v>1043</v>
      </c>
      <c r="B1132" s="115">
        <v>62</v>
      </c>
      <c r="C1132" s="90">
        <v>15</v>
      </c>
      <c r="D1132" s="115" t="s">
        <v>148</v>
      </c>
      <c r="E1132" s="210" t="s">
        <v>1095</v>
      </c>
      <c r="F1132" s="115" t="s">
        <v>16</v>
      </c>
      <c r="G1132" s="115" t="s">
        <v>17</v>
      </c>
      <c r="H1132" s="115" t="s">
        <v>150</v>
      </c>
      <c r="I1132" s="115" t="s">
        <v>723</v>
      </c>
      <c r="J1132" s="117">
        <v>45710</v>
      </c>
      <c r="K1132" s="116" t="s">
        <v>117</v>
      </c>
      <c r="L1132" s="116">
        <v>461000761</v>
      </c>
      <c r="M1132" s="117">
        <v>45711</v>
      </c>
      <c r="N1132" s="118">
        <v>45710.784722222219</v>
      </c>
      <c r="O1132" s="118">
        <v>45710.784722222219</v>
      </c>
      <c r="P1132" s="118">
        <v>45710.802083333336</v>
      </c>
      <c r="Q1132" s="118">
        <v>45710.979166666664</v>
      </c>
      <c r="R1132" s="118" t="s">
        <v>118</v>
      </c>
      <c r="S1132" s="118" t="s">
        <v>118</v>
      </c>
      <c r="T1132" s="118">
        <v>45711.0625</v>
      </c>
      <c r="U1132" s="118">
        <v>45711.151388888888</v>
      </c>
      <c r="V1132" s="119">
        <f>+Q1132-O1132</f>
        <v>0.19444444444525288</v>
      </c>
      <c r="W1132" s="185">
        <v>0.20833333333333334</v>
      </c>
      <c r="X1132" s="119" t="str">
        <f>IF(VALUE(V1132)&lt;=VALUE("05:00"),"00:00",VALUE(V1132)-VALUE("05:00"))</f>
        <v>00:00</v>
      </c>
      <c r="Y1132" s="96">
        <v>0</v>
      </c>
      <c r="Z1132" s="96">
        <v>38</v>
      </c>
      <c r="AA1132" s="96">
        <f t="shared" si="664"/>
        <v>38</v>
      </c>
      <c r="AB1132" s="97">
        <f t="shared" si="665"/>
        <v>0</v>
      </c>
      <c r="AC1132" s="97">
        <f t="shared" si="666"/>
        <v>2677.3199999999997</v>
      </c>
      <c r="AD1132" s="98">
        <f>4099.36-1422.04</f>
        <v>2677.3199999999997</v>
      </c>
      <c r="AE1132" s="98">
        <f>4109.8-1460.2</f>
        <v>2649.6000000000004</v>
      </c>
      <c r="AF1132" s="98">
        <f>4127.2-1422.04</f>
        <v>2705.16</v>
      </c>
      <c r="AG1132" s="98">
        <f t="shared" si="667"/>
        <v>27.840000000000146</v>
      </c>
      <c r="AH1132" s="99">
        <v>672.5</v>
      </c>
      <c r="AI1132" s="100">
        <f t="shared" si="668"/>
        <v>1819220.0999999999</v>
      </c>
      <c r="AJ1132" s="100">
        <f>(1.4*AH1132)*2</f>
        <v>1882.9999999999998</v>
      </c>
      <c r="AK1132" s="100">
        <v>0</v>
      </c>
      <c r="AL1132" s="100">
        <v>0</v>
      </c>
      <c r="AM1132" s="100">
        <v>0</v>
      </c>
      <c r="AN1132" s="100">
        <v>0</v>
      </c>
      <c r="AO1132" s="100">
        <v>0</v>
      </c>
      <c r="AP1132" s="100">
        <f>ROUNDUP(SUM(AI1132:AO1132)*5%,0)-1</f>
        <v>91055</v>
      </c>
      <c r="AQ1132" s="101">
        <f>ROUNDUP(SUM(AI1132:AP1132),0)-1</f>
        <v>1912158</v>
      </c>
      <c r="AR1132" s="101">
        <v>0</v>
      </c>
      <c r="AS1132" s="101">
        <v>0</v>
      </c>
      <c r="AT1132" s="137" t="s">
        <v>33</v>
      </c>
      <c r="AU1132" s="120" t="s">
        <v>118</v>
      </c>
      <c r="AV1132" s="121">
        <v>0</v>
      </c>
      <c r="AW1132" s="105">
        <v>0</v>
      </c>
      <c r="AX1132" s="140">
        <f>IFERROR(((AG1132+AG1133)/(AF1132+AF1133))*100, "")</f>
        <v>0.67454933126575278</v>
      </c>
      <c r="AY1132" s="141">
        <f>ROUNDUP((AG1132+AG1133)*AH1132,0)</f>
        <v>18723</v>
      </c>
      <c r="AZ1132" s="107"/>
      <c r="BA1132" s="118">
        <v>45710.784722222219</v>
      </c>
      <c r="BB1132" s="118">
        <v>45710.809027777781</v>
      </c>
      <c r="BC1132" s="118">
        <v>45710.8125</v>
      </c>
      <c r="BD1132" s="118">
        <v>45710.963888888888</v>
      </c>
      <c r="BE1132" s="119">
        <f>+BD1132-BA1132</f>
        <v>0.17916666666860692</v>
      </c>
      <c r="BF1132" s="119">
        <v>3.472222222222222E-3</v>
      </c>
      <c r="BG1132" s="119">
        <v>6.2500000000000003E-3</v>
      </c>
      <c r="BH1132" s="119">
        <f t="shared" si="679"/>
        <v>2.4305555562023073E-2</v>
      </c>
      <c r="BI1132" s="119">
        <f t="shared" si="679"/>
        <v>3.4722222189884633E-3</v>
      </c>
      <c r="BJ1132" s="119">
        <f t="shared" si="679"/>
        <v>0.15138888888759539</v>
      </c>
      <c r="BK1132" s="119">
        <f>+BI1132+BJ1132</f>
        <v>0.15486111110658385</v>
      </c>
      <c r="BL1132" s="119">
        <f>+BE1132-BH1132-BF1132-BG1132</f>
        <v>0.14513888888436163</v>
      </c>
      <c r="BM1132" s="119" t="str">
        <f>IF(VALUE(BE1132)&lt;=VALUE("05:00"),"00:00",VALUE(BE1132)-VALUE("05:00"))</f>
        <v>00:00</v>
      </c>
      <c r="BN1132" s="110" t="s">
        <v>1108</v>
      </c>
    </row>
    <row r="1133" spans="1:66" s="8" customFormat="1" ht="12.75" customHeight="1" x14ac:dyDescent="0.25">
      <c r="A1133" s="122"/>
      <c r="B1133" s="122"/>
      <c r="C1133" s="90">
        <v>1</v>
      </c>
      <c r="D1133" s="122"/>
      <c r="E1133" s="210" t="s">
        <v>1109</v>
      </c>
      <c r="F1133" s="122"/>
      <c r="G1133" s="122"/>
      <c r="H1133" s="122"/>
      <c r="I1133" s="122"/>
      <c r="J1133" s="124"/>
      <c r="K1133" s="123"/>
      <c r="L1133" s="123"/>
      <c r="M1133" s="124"/>
      <c r="N1133" s="125"/>
      <c r="O1133" s="125"/>
      <c r="P1133" s="125"/>
      <c r="Q1133" s="125"/>
      <c r="R1133" s="125"/>
      <c r="S1133" s="125"/>
      <c r="T1133" s="125"/>
      <c r="U1133" s="125"/>
      <c r="V1133" s="126"/>
      <c r="W1133" s="189"/>
      <c r="X1133" s="126"/>
      <c r="Y1133" s="96">
        <v>0</v>
      </c>
      <c r="Z1133" s="96">
        <v>21</v>
      </c>
      <c r="AA1133" s="96">
        <f t="shared" si="664"/>
        <v>21</v>
      </c>
      <c r="AB1133" s="97">
        <f t="shared" si="665"/>
        <v>0</v>
      </c>
      <c r="AC1133" s="97">
        <f t="shared" si="666"/>
        <v>1422.04</v>
      </c>
      <c r="AD1133" s="98">
        <v>1422.04</v>
      </c>
      <c r="AE1133" s="98">
        <v>1460.2</v>
      </c>
      <c r="AF1133" s="98">
        <v>1422.04</v>
      </c>
      <c r="AG1133" s="98">
        <f t="shared" si="667"/>
        <v>0</v>
      </c>
      <c r="AH1133" s="99">
        <v>672.5</v>
      </c>
      <c r="AI1133" s="100">
        <f t="shared" si="668"/>
        <v>956321.9</v>
      </c>
      <c r="AJ1133" s="100">
        <f>(0*AH1133)*2</f>
        <v>0</v>
      </c>
      <c r="AK1133" s="100">
        <v>0</v>
      </c>
      <c r="AL1133" s="100">
        <v>0</v>
      </c>
      <c r="AM1133" s="100">
        <v>0</v>
      </c>
      <c r="AN1133" s="100">
        <v>0</v>
      </c>
      <c r="AO1133" s="100">
        <v>0</v>
      </c>
      <c r="AP1133" s="100">
        <f t="shared" ref="AP1133:AP1158" si="680">ROUNDUP(SUM(AI1133:AO1133)*5%,0)</f>
        <v>47817</v>
      </c>
      <c r="AQ1133" s="101">
        <f t="shared" ref="AQ1133:AQ1158" si="681">ROUNDUP(SUM(AI1133:AP1133),0)</f>
        <v>1004139</v>
      </c>
      <c r="AR1133" s="101">
        <v>0</v>
      </c>
      <c r="AS1133" s="101">
        <v>0</v>
      </c>
      <c r="AT1133" s="138"/>
      <c r="AU1133" s="127"/>
      <c r="AV1133" s="128"/>
      <c r="AW1133" s="105">
        <v>0</v>
      </c>
      <c r="AX1133" s="144"/>
      <c r="AY1133" s="145"/>
      <c r="AZ1133" s="107"/>
      <c r="BA1133" s="125"/>
      <c r="BB1133" s="125"/>
      <c r="BC1133" s="125"/>
      <c r="BD1133" s="125"/>
      <c r="BE1133" s="126"/>
      <c r="BF1133" s="126"/>
      <c r="BG1133" s="126"/>
      <c r="BH1133" s="126"/>
      <c r="BI1133" s="126"/>
      <c r="BJ1133" s="126"/>
      <c r="BK1133" s="126"/>
      <c r="BL1133" s="126"/>
      <c r="BM1133" s="126"/>
      <c r="BN1133" s="110" t="s">
        <v>1110</v>
      </c>
    </row>
    <row r="1134" spans="1:66" s="8" customFormat="1" ht="12.75" customHeight="1" x14ac:dyDescent="0.25">
      <c r="A1134" s="150">
        <v>1044</v>
      </c>
      <c r="B1134" s="150">
        <v>63</v>
      </c>
      <c r="C1134" s="90">
        <v>2</v>
      </c>
      <c r="D1134" s="111" t="s">
        <v>148</v>
      </c>
      <c r="E1134" s="210" t="s">
        <v>1109</v>
      </c>
      <c r="F1134" s="150" t="s">
        <v>16</v>
      </c>
      <c r="G1134" s="150" t="s">
        <v>17</v>
      </c>
      <c r="H1134" s="150" t="s">
        <v>150</v>
      </c>
      <c r="I1134" s="150" t="s">
        <v>727</v>
      </c>
      <c r="J1134" s="151">
        <v>45710</v>
      </c>
      <c r="K1134" s="135" t="s">
        <v>122</v>
      </c>
      <c r="L1134" s="135">
        <v>461000762</v>
      </c>
      <c r="M1134" s="151">
        <v>45711</v>
      </c>
      <c r="N1134" s="152">
        <v>45711.104166666664</v>
      </c>
      <c r="O1134" s="152">
        <v>45711.104166666664</v>
      </c>
      <c r="P1134" s="152">
        <v>45711.15625</v>
      </c>
      <c r="Q1134" s="152">
        <v>45711.270833333336</v>
      </c>
      <c r="R1134" s="152" t="s">
        <v>118</v>
      </c>
      <c r="S1134" s="152" t="s">
        <v>118</v>
      </c>
      <c r="T1134" s="152">
        <v>45711.322916666664</v>
      </c>
      <c r="U1134" s="152">
        <v>45711.388194444444</v>
      </c>
      <c r="V1134" s="219">
        <f t="shared" ref="V1134:V1159" si="682">+Q1134-O1134</f>
        <v>0.16666666667151731</v>
      </c>
      <c r="W1134" s="203">
        <v>0.20833333333333334</v>
      </c>
      <c r="X1134" s="219" t="str">
        <f t="shared" ref="X1134:X1159" si="683">IF(VALUE(V1134)&lt;=VALUE("05:00"),"00:00",VALUE(V1134)-VALUE("05:00"))</f>
        <v>00:00</v>
      </c>
      <c r="Y1134" s="96">
        <v>0</v>
      </c>
      <c r="Z1134" s="96">
        <v>58</v>
      </c>
      <c r="AA1134" s="96">
        <f t="shared" si="664"/>
        <v>58</v>
      </c>
      <c r="AB1134" s="97">
        <f t="shared" si="665"/>
        <v>0</v>
      </c>
      <c r="AC1134" s="97">
        <f t="shared" si="666"/>
        <v>4012.6</v>
      </c>
      <c r="AD1134" s="98">
        <v>4012.6</v>
      </c>
      <c r="AE1134" s="98">
        <v>4060</v>
      </c>
      <c r="AF1134" s="98">
        <v>4066.8</v>
      </c>
      <c r="AG1134" s="98">
        <f t="shared" si="667"/>
        <v>54.200000000000273</v>
      </c>
      <c r="AH1134" s="99">
        <v>672.5</v>
      </c>
      <c r="AI1134" s="100">
        <f t="shared" si="668"/>
        <v>2734923</v>
      </c>
      <c r="AJ1134" s="100">
        <f>(1.2*AH1134)*2</f>
        <v>1614</v>
      </c>
      <c r="AK1134" s="100">
        <v>0</v>
      </c>
      <c r="AL1134" s="100">
        <v>0</v>
      </c>
      <c r="AM1134" s="100">
        <v>0</v>
      </c>
      <c r="AN1134" s="100">
        <v>0</v>
      </c>
      <c r="AO1134" s="100">
        <v>0</v>
      </c>
      <c r="AP1134" s="100">
        <f t="shared" si="680"/>
        <v>136827</v>
      </c>
      <c r="AQ1134" s="101">
        <f t="shared" si="681"/>
        <v>2873364</v>
      </c>
      <c r="AR1134" s="101">
        <v>0</v>
      </c>
      <c r="AS1134" s="101">
        <v>0</v>
      </c>
      <c r="AT1134" s="102" t="s">
        <v>33</v>
      </c>
      <c r="AU1134" s="109" t="s">
        <v>118</v>
      </c>
      <c r="AV1134" s="100">
        <v>0</v>
      </c>
      <c r="AW1134" s="105">
        <v>0</v>
      </c>
      <c r="AX1134" s="216">
        <f t="shared" ref="AX1134:AX1158" si="684">IFERROR((AG1134/AF1134)*100, "")</f>
        <v>1.3327431887479166</v>
      </c>
      <c r="AY1134" s="217">
        <f t="shared" ref="AY1134:AY1158" si="685">ROUNDUP(AG1134*AH1134,0)</f>
        <v>36450</v>
      </c>
      <c r="AZ1134" s="107"/>
      <c r="BA1134" s="94">
        <v>45711.104166666664</v>
      </c>
      <c r="BB1134" s="94">
        <v>45711.114583333336</v>
      </c>
      <c r="BC1134" s="94">
        <v>45711.114583333336</v>
      </c>
      <c r="BD1134" s="94">
        <v>45711.243055555555</v>
      </c>
      <c r="BE1134" s="95">
        <f t="shared" ref="BE1134:BE1159" si="686">+BD1134-BA1134</f>
        <v>0.13888888889050577</v>
      </c>
      <c r="BF1134" s="95">
        <v>0</v>
      </c>
      <c r="BG1134" s="95">
        <v>0</v>
      </c>
      <c r="BH1134" s="95">
        <f t="shared" ref="BH1134:BJ1159" si="687">+BB1134-BA1134</f>
        <v>1.0416666671517305E-2</v>
      </c>
      <c r="BI1134" s="95">
        <f t="shared" si="687"/>
        <v>0</v>
      </c>
      <c r="BJ1134" s="95">
        <f t="shared" si="687"/>
        <v>0.12847222221898846</v>
      </c>
      <c r="BK1134" s="95">
        <f t="shared" ref="BK1134:BK1159" si="688">+BI1134+BJ1134</f>
        <v>0.12847222221898846</v>
      </c>
      <c r="BL1134" s="95">
        <f t="shared" ref="BL1134:BL1159" si="689">+BE1134-BH1134-BF1134-BG1134</f>
        <v>0.12847222221898846</v>
      </c>
      <c r="BM1134" s="95" t="str">
        <f t="shared" ref="BM1134:BM1159" si="690">IF(VALUE(BE1134)&lt;=VALUE("05:00"),"00:00",VALUE(BE1134)-VALUE("05:00"))</f>
        <v>00:00</v>
      </c>
      <c r="BN1134" s="110"/>
    </row>
    <row r="1135" spans="1:66" s="8" customFormat="1" ht="12.75" customHeight="1" x14ac:dyDescent="0.25">
      <c r="A1135" s="150">
        <v>1045</v>
      </c>
      <c r="B1135" s="150">
        <v>64</v>
      </c>
      <c r="C1135" s="90">
        <v>3</v>
      </c>
      <c r="D1135" s="111" t="s">
        <v>148</v>
      </c>
      <c r="E1135" s="210" t="s">
        <v>1109</v>
      </c>
      <c r="F1135" s="150" t="s">
        <v>16</v>
      </c>
      <c r="G1135" s="150" t="s">
        <v>17</v>
      </c>
      <c r="H1135" s="150" t="s">
        <v>150</v>
      </c>
      <c r="I1135" s="150" t="s">
        <v>728</v>
      </c>
      <c r="J1135" s="151">
        <v>45710</v>
      </c>
      <c r="K1135" s="135" t="s">
        <v>117</v>
      </c>
      <c r="L1135" s="135">
        <v>461000763</v>
      </c>
      <c r="M1135" s="151">
        <v>45711</v>
      </c>
      <c r="N1135" s="152">
        <v>45711.291666666664</v>
      </c>
      <c r="O1135" s="152">
        <v>45711.291666666664</v>
      </c>
      <c r="P1135" s="152">
        <v>45711.302083333336</v>
      </c>
      <c r="Q1135" s="152">
        <v>45711.489583333336</v>
      </c>
      <c r="R1135" s="152" t="s">
        <v>118</v>
      </c>
      <c r="S1135" s="152" t="s">
        <v>118</v>
      </c>
      <c r="T1135" s="152">
        <v>45711.625</v>
      </c>
      <c r="U1135" s="152">
        <v>45711.760416666664</v>
      </c>
      <c r="V1135" s="219">
        <f t="shared" si="682"/>
        <v>0.19791666667151731</v>
      </c>
      <c r="W1135" s="203">
        <v>0.20833333333333334</v>
      </c>
      <c r="X1135" s="219" t="str">
        <f t="shared" si="683"/>
        <v>00:00</v>
      </c>
      <c r="Y1135" s="96">
        <v>0</v>
      </c>
      <c r="Z1135" s="96">
        <v>58</v>
      </c>
      <c r="AA1135" s="96">
        <f t="shared" si="664"/>
        <v>58</v>
      </c>
      <c r="AB1135" s="97">
        <f t="shared" si="665"/>
        <v>0</v>
      </c>
      <c r="AC1135" s="97">
        <f t="shared" si="666"/>
        <v>4045.27</v>
      </c>
      <c r="AD1135" s="98">
        <v>4045.27</v>
      </c>
      <c r="AE1135" s="98">
        <v>4058</v>
      </c>
      <c r="AF1135" s="98">
        <v>4074</v>
      </c>
      <c r="AG1135" s="98">
        <f t="shared" si="667"/>
        <v>28.730000000000018</v>
      </c>
      <c r="AH1135" s="99">
        <v>672.5</v>
      </c>
      <c r="AI1135" s="100">
        <f t="shared" si="668"/>
        <v>2739765</v>
      </c>
      <c r="AJ1135" s="100">
        <f>(0*AH1135)*2</f>
        <v>0</v>
      </c>
      <c r="AK1135" s="100">
        <v>0</v>
      </c>
      <c r="AL1135" s="100">
        <v>24140</v>
      </c>
      <c r="AM1135" s="100">
        <v>0</v>
      </c>
      <c r="AN1135" s="100">
        <v>0</v>
      </c>
      <c r="AO1135" s="100">
        <v>0</v>
      </c>
      <c r="AP1135" s="100">
        <f t="shared" si="680"/>
        <v>138196</v>
      </c>
      <c r="AQ1135" s="101">
        <f t="shared" si="681"/>
        <v>2902101</v>
      </c>
      <c r="AR1135" s="101">
        <v>0</v>
      </c>
      <c r="AS1135" s="101">
        <v>0</v>
      </c>
      <c r="AT1135" s="102" t="s">
        <v>33</v>
      </c>
      <c r="AU1135" s="109">
        <v>6</v>
      </c>
      <c r="AV1135" s="100">
        <f>18.8-14.8</f>
        <v>4</v>
      </c>
      <c r="AW1135" s="105">
        <v>0</v>
      </c>
      <c r="AX1135" s="216">
        <f t="shared" si="684"/>
        <v>0.70520373097692735</v>
      </c>
      <c r="AY1135" s="217">
        <f t="shared" si="685"/>
        <v>19321</v>
      </c>
      <c r="AZ1135" s="107"/>
      <c r="BA1135" s="94">
        <v>45711.291666666664</v>
      </c>
      <c r="BB1135" s="94">
        <v>45711.302083333336</v>
      </c>
      <c r="BC1135" s="94">
        <v>45711.333333333336</v>
      </c>
      <c r="BD1135" s="94">
        <v>45711.479166666664</v>
      </c>
      <c r="BE1135" s="95">
        <f t="shared" si="686"/>
        <v>0.1875</v>
      </c>
      <c r="BF1135" s="95">
        <v>4.3749999999999997E-2</v>
      </c>
      <c r="BG1135" s="95">
        <v>0</v>
      </c>
      <c r="BH1135" s="95">
        <f t="shared" si="687"/>
        <v>1.0416666671517305E-2</v>
      </c>
      <c r="BI1135" s="95">
        <f t="shared" si="687"/>
        <v>3.125E-2</v>
      </c>
      <c r="BJ1135" s="95">
        <f t="shared" si="687"/>
        <v>0.14583333332848269</v>
      </c>
      <c r="BK1135" s="95">
        <f t="shared" si="688"/>
        <v>0.17708333332848269</v>
      </c>
      <c r="BL1135" s="95">
        <f t="shared" si="689"/>
        <v>0.13333333332848268</v>
      </c>
      <c r="BM1135" s="95" t="str">
        <f t="shared" si="690"/>
        <v>00:00</v>
      </c>
      <c r="BN1135" s="110"/>
    </row>
    <row r="1136" spans="1:66" s="8" customFormat="1" ht="12.75" customHeight="1" x14ac:dyDescent="0.25">
      <c r="A1136" s="150">
        <v>1046</v>
      </c>
      <c r="B1136" s="150">
        <v>65</v>
      </c>
      <c r="C1136" s="90">
        <v>4</v>
      </c>
      <c r="D1136" s="111" t="s">
        <v>148</v>
      </c>
      <c r="E1136" s="210" t="s">
        <v>1109</v>
      </c>
      <c r="F1136" s="150" t="s">
        <v>16</v>
      </c>
      <c r="G1136" s="150" t="s">
        <v>17</v>
      </c>
      <c r="H1136" s="150" t="s">
        <v>150</v>
      </c>
      <c r="I1136" s="150" t="s">
        <v>730</v>
      </c>
      <c r="J1136" s="151">
        <v>45711</v>
      </c>
      <c r="K1136" s="135" t="s">
        <v>122</v>
      </c>
      <c r="L1136" s="135">
        <v>461000764</v>
      </c>
      <c r="M1136" s="151">
        <v>45711</v>
      </c>
      <c r="N1136" s="152">
        <v>45711.65625</v>
      </c>
      <c r="O1136" s="152">
        <v>45711.65625</v>
      </c>
      <c r="P1136" s="152">
        <v>45711.663194444445</v>
      </c>
      <c r="Q1136" s="152">
        <v>45711.822916666664</v>
      </c>
      <c r="R1136" s="152" t="s">
        <v>118</v>
      </c>
      <c r="S1136" s="152" t="s">
        <v>118</v>
      </c>
      <c r="T1136" s="152">
        <v>45711.861111111109</v>
      </c>
      <c r="U1136" s="152">
        <v>45711.961805555555</v>
      </c>
      <c r="V1136" s="219">
        <f t="shared" si="682"/>
        <v>0.16666666666424135</v>
      </c>
      <c r="W1136" s="203">
        <v>0.20833333333333334</v>
      </c>
      <c r="X1136" s="219" t="str">
        <f t="shared" si="683"/>
        <v>00:00</v>
      </c>
      <c r="Y1136" s="96">
        <v>0</v>
      </c>
      <c r="Z1136" s="96">
        <v>59</v>
      </c>
      <c r="AA1136" s="96">
        <f t="shared" si="664"/>
        <v>59</v>
      </c>
      <c r="AB1136" s="97">
        <f t="shared" si="665"/>
        <v>0</v>
      </c>
      <c r="AC1136" s="97">
        <f t="shared" si="666"/>
        <v>4067.3100000000004</v>
      </c>
      <c r="AD1136" s="98">
        <v>4067.31</v>
      </c>
      <c r="AE1136" s="98">
        <v>4117.6000000000004</v>
      </c>
      <c r="AF1136" s="98">
        <v>4124.3999999999996</v>
      </c>
      <c r="AG1136" s="98">
        <f t="shared" si="667"/>
        <v>57.089999999999691</v>
      </c>
      <c r="AH1136" s="99">
        <v>672.5</v>
      </c>
      <c r="AI1136" s="100">
        <f t="shared" si="668"/>
        <v>2773658.9999999995</v>
      </c>
      <c r="AJ1136" s="100">
        <f>(0.8*AH1136)*2</f>
        <v>1076</v>
      </c>
      <c r="AK1136" s="100">
        <v>0</v>
      </c>
      <c r="AL1136" s="100">
        <v>0</v>
      </c>
      <c r="AM1136" s="100">
        <v>0</v>
      </c>
      <c r="AN1136" s="100">
        <v>0</v>
      </c>
      <c r="AO1136" s="100">
        <v>0</v>
      </c>
      <c r="AP1136" s="100">
        <f t="shared" si="680"/>
        <v>138737</v>
      </c>
      <c r="AQ1136" s="101">
        <f t="shared" si="681"/>
        <v>2913472</v>
      </c>
      <c r="AR1136" s="101">
        <v>0</v>
      </c>
      <c r="AS1136" s="101">
        <v>0</v>
      </c>
      <c r="AT1136" s="102" t="s">
        <v>33</v>
      </c>
      <c r="AU1136" s="109" t="s">
        <v>118</v>
      </c>
      <c r="AV1136" s="100">
        <v>0</v>
      </c>
      <c r="AW1136" s="105">
        <v>0</v>
      </c>
      <c r="AX1136" s="216">
        <f t="shared" si="684"/>
        <v>1.3842013383764837</v>
      </c>
      <c r="AY1136" s="217">
        <f t="shared" si="685"/>
        <v>38394</v>
      </c>
      <c r="AZ1136" s="107"/>
      <c r="BA1136" s="94">
        <v>45711.65625</v>
      </c>
      <c r="BB1136" s="94">
        <v>45711.663194444445</v>
      </c>
      <c r="BC1136" s="94">
        <v>45711.663194444445</v>
      </c>
      <c r="BD1136" s="94">
        <v>45711.78125</v>
      </c>
      <c r="BE1136" s="95">
        <f t="shared" si="686"/>
        <v>0.125</v>
      </c>
      <c r="BF1136" s="95">
        <v>0</v>
      </c>
      <c r="BG1136" s="95">
        <v>0</v>
      </c>
      <c r="BH1136" s="95">
        <f t="shared" si="687"/>
        <v>6.9444444452528842E-3</v>
      </c>
      <c r="BI1136" s="95">
        <f t="shared" si="687"/>
        <v>0</v>
      </c>
      <c r="BJ1136" s="95">
        <f t="shared" si="687"/>
        <v>0.11805555555474712</v>
      </c>
      <c r="BK1136" s="95">
        <f t="shared" si="688"/>
        <v>0.11805555555474712</v>
      </c>
      <c r="BL1136" s="95">
        <f t="shared" si="689"/>
        <v>0.11805555555474712</v>
      </c>
      <c r="BM1136" s="95" t="str">
        <f t="shared" si="690"/>
        <v>00:00</v>
      </c>
      <c r="BN1136" s="110"/>
    </row>
    <row r="1137" spans="1:66" s="8" customFormat="1" ht="12.75" customHeight="1" x14ac:dyDescent="0.25">
      <c r="A1137" s="150">
        <v>1047</v>
      </c>
      <c r="B1137" s="150">
        <v>66</v>
      </c>
      <c r="C1137" s="90">
        <v>5</v>
      </c>
      <c r="D1137" s="111" t="s">
        <v>148</v>
      </c>
      <c r="E1137" s="210" t="s">
        <v>1109</v>
      </c>
      <c r="F1137" s="150" t="s">
        <v>16</v>
      </c>
      <c r="G1137" s="150" t="s">
        <v>17</v>
      </c>
      <c r="H1137" s="150" t="s">
        <v>150</v>
      </c>
      <c r="I1137" s="150" t="s">
        <v>735</v>
      </c>
      <c r="J1137" s="151">
        <v>45711</v>
      </c>
      <c r="K1137" s="135" t="s">
        <v>117</v>
      </c>
      <c r="L1137" s="135">
        <v>461000765</v>
      </c>
      <c r="M1137" s="151">
        <v>45712</v>
      </c>
      <c r="N1137" s="152">
        <v>45711.791666666664</v>
      </c>
      <c r="O1137" s="152">
        <v>45711.791666666664</v>
      </c>
      <c r="P1137" s="152">
        <v>45711.795138888891</v>
      </c>
      <c r="Q1137" s="152">
        <v>45711.947916666664</v>
      </c>
      <c r="R1137" s="152" t="s">
        <v>118</v>
      </c>
      <c r="S1137" s="152" t="s">
        <v>118</v>
      </c>
      <c r="T1137" s="152">
        <v>45712.052083333336</v>
      </c>
      <c r="U1137" s="152">
        <v>45712.115277777775</v>
      </c>
      <c r="V1137" s="219">
        <f t="shared" si="682"/>
        <v>0.15625</v>
      </c>
      <c r="W1137" s="203">
        <v>0.20833333333333334</v>
      </c>
      <c r="X1137" s="219" t="str">
        <f t="shared" si="683"/>
        <v>00:00</v>
      </c>
      <c r="Y1137" s="96">
        <v>0</v>
      </c>
      <c r="Z1137" s="96">
        <v>58</v>
      </c>
      <c r="AA1137" s="96">
        <f t="shared" si="664"/>
        <v>58</v>
      </c>
      <c r="AB1137" s="97">
        <f t="shared" si="665"/>
        <v>0</v>
      </c>
      <c r="AC1137" s="97">
        <f t="shared" si="666"/>
        <v>3993.8699999999994</v>
      </c>
      <c r="AD1137" s="98">
        <v>3993.87</v>
      </c>
      <c r="AE1137" s="98">
        <v>4048.5</v>
      </c>
      <c r="AF1137" s="98">
        <v>4053.8</v>
      </c>
      <c r="AG1137" s="98">
        <f t="shared" si="667"/>
        <v>59.930000000000291</v>
      </c>
      <c r="AH1137" s="99">
        <v>672.5</v>
      </c>
      <c r="AI1137" s="100">
        <f t="shared" si="668"/>
        <v>2726180.5</v>
      </c>
      <c r="AJ1137" s="100">
        <f>(1.2*AH1137)*2</f>
        <v>1614</v>
      </c>
      <c r="AK1137" s="100">
        <v>0</v>
      </c>
      <c r="AL1137" s="100">
        <v>0</v>
      </c>
      <c r="AM1137" s="100">
        <v>0</v>
      </c>
      <c r="AN1137" s="100">
        <v>0</v>
      </c>
      <c r="AO1137" s="100">
        <v>0</v>
      </c>
      <c r="AP1137" s="100">
        <f t="shared" si="680"/>
        <v>136390</v>
      </c>
      <c r="AQ1137" s="101">
        <f t="shared" si="681"/>
        <v>2864185</v>
      </c>
      <c r="AR1137" s="101">
        <v>0</v>
      </c>
      <c r="AS1137" s="101">
        <v>0</v>
      </c>
      <c r="AT1137" s="102" t="s">
        <v>33</v>
      </c>
      <c r="AU1137" s="109" t="s">
        <v>118</v>
      </c>
      <c r="AV1137" s="100">
        <v>0</v>
      </c>
      <c r="AW1137" s="105">
        <v>0</v>
      </c>
      <c r="AX1137" s="216">
        <f t="shared" si="684"/>
        <v>1.4783659776012701</v>
      </c>
      <c r="AY1137" s="217">
        <f t="shared" si="685"/>
        <v>40303</v>
      </c>
      <c r="AZ1137" s="107"/>
      <c r="BA1137" s="94">
        <v>45711.791666666664</v>
      </c>
      <c r="BB1137" s="94">
        <v>45711.795138888891</v>
      </c>
      <c r="BC1137" s="94">
        <v>45711.795138888891</v>
      </c>
      <c r="BD1137" s="94">
        <v>45711.931944444441</v>
      </c>
      <c r="BE1137" s="95">
        <f t="shared" si="686"/>
        <v>0.14027777777664596</v>
      </c>
      <c r="BF1137" s="95">
        <v>2.4305555555555556E-2</v>
      </c>
      <c r="BG1137" s="95">
        <v>0</v>
      </c>
      <c r="BH1137" s="95">
        <f t="shared" si="687"/>
        <v>3.4722222262644209E-3</v>
      </c>
      <c r="BI1137" s="95">
        <f t="shared" si="687"/>
        <v>0</v>
      </c>
      <c r="BJ1137" s="95">
        <f t="shared" si="687"/>
        <v>0.13680555555038154</v>
      </c>
      <c r="BK1137" s="95">
        <f t="shared" si="688"/>
        <v>0.13680555555038154</v>
      </c>
      <c r="BL1137" s="95">
        <f t="shared" si="689"/>
        <v>0.11249999999482599</v>
      </c>
      <c r="BM1137" s="95" t="str">
        <f t="shared" si="690"/>
        <v>00:00</v>
      </c>
      <c r="BN1137" s="110"/>
    </row>
    <row r="1138" spans="1:66" s="8" customFormat="1" ht="12.75" customHeight="1" x14ac:dyDescent="0.25">
      <c r="A1138" s="150">
        <v>1048</v>
      </c>
      <c r="B1138" s="150">
        <v>67</v>
      </c>
      <c r="C1138" s="90">
        <v>6</v>
      </c>
      <c r="D1138" s="111" t="s">
        <v>148</v>
      </c>
      <c r="E1138" s="210" t="s">
        <v>1109</v>
      </c>
      <c r="F1138" s="150" t="s">
        <v>16</v>
      </c>
      <c r="G1138" s="150" t="s">
        <v>17</v>
      </c>
      <c r="H1138" s="150" t="s">
        <v>150</v>
      </c>
      <c r="I1138" s="150" t="s">
        <v>737</v>
      </c>
      <c r="J1138" s="151">
        <v>45711</v>
      </c>
      <c r="K1138" s="135" t="s">
        <v>122</v>
      </c>
      <c r="L1138" s="135">
        <v>461000766</v>
      </c>
      <c r="M1138" s="151">
        <v>45712</v>
      </c>
      <c r="N1138" s="152">
        <v>45712.083333333336</v>
      </c>
      <c r="O1138" s="152">
        <v>45712.083333333336</v>
      </c>
      <c r="P1138" s="152">
        <v>45712.086805555555</v>
      </c>
      <c r="Q1138" s="152">
        <v>45712.260416666664</v>
      </c>
      <c r="R1138" s="152" t="s">
        <v>118</v>
      </c>
      <c r="S1138" s="152" t="s">
        <v>118</v>
      </c>
      <c r="T1138" s="152">
        <v>45712.270833333336</v>
      </c>
      <c r="U1138" s="152">
        <v>45712.416666666664</v>
      </c>
      <c r="V1138" s="219">
        <f t="shared" si="682"/>
        <v>0.17708333332848269</v>
      </c>
      <c r="W1138" s="203">
        <v>0.20833333333333334</v>
      </c>
      <c r="X1138" s="219" t="str">
        <f t="shared" si="683"/>
        <v>00:00</v>
      </c>
      <c r="Y1138" s="96">
        <v>0</v>
      </c>
      <c r="Z1138" s="96">
        <v>58</v>
      </c>
      <c r="AA1138" s="96">
        <f t="shared" si="664"/>
        <v>58</v>
      </c>
      <c r="AB1138" s="97">
        <f t="shared" si="665"/>
        <v>0</v>
      </c>
      <c r="AC1138" s="97">
        <f t="shared" si="666"/>
        <v>4009.63</v>
      </c>
      <c r="AD1138" s="98">
        <v>4009.63</v>
      </c>
      <c r="AE1138" s="98">
        <v>4031.3</v>
      </c>
      <c r="AF1138" s="98">
        <v>4046.8</v>
      </c>
      <c r="AG1138" s="98">
        <f t="shared" si="667"/>
        <v>37.170000000000073</v>
      </c>
      <c r="AH1138" s="99">
        <v>672.5</v>
      </c>
      <c r="AI1138" s="100">
        <f t="shared" si="668"/>
        <v>2721473</v>
      </c>
      <c r="AJ1138" s="100">
        <f>(0*AH1138)*2</f>
        <v>0</v>
      </c>
      <c r="AK1138" s="100">
        <v>0</v>
      </c>
      <c r="AL1138" s="100">
        <v>24140</v>
      </c>
      <c r="AM1138" s="100">
        <v>0</v>
      </c>
      <c r="AN1138" s="100">
        <v>0</v>
      </c>
      <c r="AO1138" s="100">
        <v>0</v>
      </c>
      <c r="AP1138" s="100">
        <f t="shared" si="680"/>
        <v>137281</v>
      </c>
      <c r="AQ1138" s="101">
        <f t="shared" si="681"/>
        <v>2882894</v>
      </c>
      <c r="AR1138" s="101">
        <v>0</v>
      </c>
      <c r="AS1138" s="101">
        <v>0</v>
      </c>
      <c r="AT1138" s="102" t="s">
        <v>33</v>
      </c>
      <c r="AU1138" s="109">
        <v>7</v>
      </c>
      <c r="AV1138" s="100">
        <f>17.29-13.29</f>
        <v>4</v>
      </c>
      <c r="AW1138" s="105">
        <v>0</v>
      </c>
      <c r="AX1138" s="216">
        <f t="shared" si="684"/>
        <v>0.91850350894534127</v>
      </c>
      <c r="AY1138" s="217">
        <f t="shared" si="685"/>
        <v>24997</v>
      </c>
      <c r="AZ1138" s="107"/>
      <c r="BA1138" s="94">
        <v>45712.083333333336</v>
      </c>
      <c r="BB1138" s="94">
        <v>45712.086805555555</v>
      </c>
      <c r="BC1138" s="94">
        <v>45712.086805555555</v>
      </c>
      <c r="BD1138" s="94">
        <v>45712.215277777781</v>
      </c>
      <c r="BE1138" s="95">
        <f t="shared" si="686"/>
        <v>0.13194444444525288</v>
      </c>
      <c r="BF1138" s="95">
        <v>0</v>
      </c>
      <c r="BG1138" s="95">
        <v>0</v>
      </c>
      <c r="BH1138" s="95">
        <f t="shared" si="687"/>
        <v>3.4722222189884633E-3</v>
      </c>
      <c r="BI1138" s="95">
        <f t="shared" si="687"/>
        <v>0</v>
      </c>
      <c r="BJ1138" s="95">
        <f t="shared" si="687"/>
        <v>0.12847222222626442</v>
      </c>
      <c r="BK1138" s="95">
        <f t="shared" si="688"/>
        <v>0.12847222222626442</v>
      </c>
      <c r="BL1138" s="95">
        <f t="shared" si="689"/>
        <v>0.12847222222626442</v>
      </c>
      <c r="BM1138" s="95" t="str">
        <f t="shared" si="690"/>
        <v>00:00</v>
      </c>
      <c r="BN1138" s="110"/>
    </row>
    <row r="1139" spans="1:66" s="8" customFormat="1" ht="12.75" customHeight="1" x14ac:dyDescent="0.25">
      <c r="A1139" s="150">
        <v>1049</v>
      </c>
      <c r="B1139" s="150">
        <v>68</v>
      </c>
      <c r="C1139" s="90">
        <v>1</v>
      </c>
      <c r="D1139" s="111" t="s">
        <v>113</v>
      </c>
      <c r="E1139" s="210" t="s">
        <v>1111</v>
      </c>
      <c r="F1139" s="150" t="s">
        <v>41</v>
      </c>
      <c r="G1139" s="150" t="s">
        <v>12</v>
      </c>
      <c r="H1139" s="150" t="s">
        <v>115</v>
      </c>
      <c r="I1139" s="150" t="s">
        <v>1112</v>
      </c>
      <c r="J1139" s="151">
        <v>45712</v>
      </c>
      <c r="K1139" s="135" t="s">
        <v>117</v>
      </c>
      <c r="L1139" s="135">
        <v>282001135</v>
      </c>
      <c r="M1139" s="151">
        <v>45713</v>
      </c>
      <c r="N1139" s="152">
        <v>45712.381944444445</v>
      </c>
      <c r="O1139" s="152">
        <v>45712.381944444445</v>
      </c>
      <c r="P1139" s="152">
        <v>45712.388888888891</v>
      </c>
      <c r="Q1139" s="152">
        <v>45712.5625</v>
      </c>
      <c r="R1139" s="152" t="s">
        <v>118</v>
      </c>
      <c r="S1139" s="152" t="s">
        <v>118</v>
      </c>
      <c r="T1139" s="152">
        <v>45712.708333333336</v>
      </c>
      <c r="U1139" s="152">
        <v>45712.80972222222</v>
      </c>
      <c r="V1139" s="219">
        <f t="shared" si="682"/>
        <v>0.18055555555474712</v>
      </c>
      <c r="W1139" s="203">
        <v>0.20833333333333334</v>
      </c>
      <c r="X1139" s="219" t="str">
        <f t="shared" si="683"/>
        <v>00:00</v>
      </c>
      <c r="Y1139" s="96">
        <v>0</v>
      </c>
      <c r="Z1139" s="96">
        <v>59</v>
      </c>
      <c r="AA1139" s="96">
        <f t="shared" si="664"/>
        <v>59</v>
      </c>
      <c r="AB1139" s="97">
        <f t="shared" si="665"/>
        <v>0</v>
      </c>
      <c r="AC1139" s="97">
        <f t="shared" si="666"/>
        <v>3921.89</v>
      </c>
      <c r="AD1139" s="98">
        <v>3921.89</v>
      </c>
      <c r="AE1139" s="98">
        <v>4084</v>
      </c>
      <c r="AF1139" s="98">
        <v>4084.2</v>
      </c>
      <c r="AG1139" s="98">
        <f t="shared" si="667"/>
        <v>162.30999999999995</v>
      </c>
      <c r="AH1139" s="99">
        <v>1586.7</v>
      </c>
      <c r="AI1139" s="100">
        <f t="shared" si="668"/>
        <v>6480400.1399999997</v>
      </c>
      <c r="AJ1139" s="100">
        <f>(0*AH1139)*2</f>
        <v>0</v>
      </c>
      <c r="AK1139" s="100">
        <v>0</v>
      </c>
      <c r="AL1139" s="100">
        <v>0</v>
      </c>
      <c r="AM1139" s="100">
        <v>0</v>
      </c>
      <c r="AN1139" s="100">
        <v>0</v>
      </c>
      <c r="AO1139" s="100">
        <f>IFERROR(AF1139*20+(((AJ1139/AH1139)/2)*20),0)</f>
        <v>81684</v>
      </c>
      <c r="AP1139" s="100">
        <f t="shared" si="680"/>
        <v>328105</v>
      </c>
      <c r="AQ1139" s="101">
        <f t="shared" si="681"/>
        <v>6890190</v>
      </c>
      <c r="AR1139" s="101">
        <v>0</v>
      </c>
      <c r="AS1139" s="101">
        <v>0</v>
      </c>
      <c r="AT1139" s="102" t="s">
        <v>33</v>
      </c>
      <c r="AU1139" s="109" t="s">
        <v>118</v>
      </c>
      <c r="AV1139" s="100">
        <v>0</v>
      </c>
      <c r="AW1139" s="105">
        <v>0</v>
      </c>
      <c r="AX1139" s="216">
        <f t="shared" si="684"/>
        <v>3.9740952940600351</v>
      </c>
      <c r="AY1139" s="217">
        <f t="shared" si="685"/>
        <v>257538</v>
      </c>
      <c r="AZ1139" s="107"/>
      <c r="BA1139" s="94">
        <v>45712.388888888891</v>
      </c>
      <c r="BB1139" s="94">
        <v>45712.395833333336</v>
      </c>
      <c r="BC1139" s="94">
        <v>45712.395833333336</v>
      </c>
      <c r="BD1139" s="94">
        <v>45712.515972222223</v>
      </c>
      <c r="BE1139" s="95">
        <f t="shared" si="686"/>
        <v>0.12708333333284827</v>
      </c>
      <c r="BF1139" s="95">
        <v>2.0833333333333333E-3</v>
      </c>
      <c r="BG1139" s="95">
        <v>0</v>
      </c>
      <c r="BH1139" s="95">
        <f t="shared" si="687"/>
        <v>6.9444444452528842E-3</v>
      </c>
      <c r="BI1139" s="95">
        <f t="shared" si="687"/>
        <v>0</v>
      </c>
      <c r="BJ1139" s="95">
        <f t="shared" si="687"/>
        <v>0.12013888888759539</v>
      </c>
      <c r="BK1139" s="95">
        <f t="shared" si="688"/>
        <v>0.12013888888759539</v>
      </c>
      <c r="BL1139" s="95">
        <f t="shared" si="689"/>
        <v>0.11805555555426205</v>
      </c>
      <c r="BM1139" s="95" t="str">
        <f t="shared" si="690"/>
        <v>00:00</v>
      </c>
      <c r="BN1139" s="110"/>
    </row>
    <row r="1140" spans="1:66" s="8" customFormat="1" ht="12.75" customHeight="1" x14ac:dyDescent="0.25">
      <c r="A1140" s="150">
        <v>1050</v>
      </c>
      <c r="B1140" s="150">
        <v>69</v>
      </c>
      <c r="C1140" s="90">
        <v>7</v>
      </c>
      <c r="D1140" s="111" t="s">
        <v>148</v>
      </c>
      <c r="E1140" s="210" t="s">
        <v>1109</v>
      </c>
      <c r="F1140" s="150" t="s">
        <v>16</v>
      </c>
      <c r="G1140" s="150" t="s">
        <v>17</v>
      </c>
      <c r="H1140" s="150" t="s">
        <v>150</v>
      </c>
      <c r="I1140" s="150" t="s">
        <v>738</v>
      </c>
      <c r="J1140" s="151">
        <v>45711</v>
      </c>
      <c r="K1140" s="135" t="s">
        <v>122</v>
      </c>
      <c r="L1140" s="135">
        <v>461000767</v>
      </c>
      <c r="M1140" s="151">
        <v>45713</v>
      </c>
      <c r="N1140" s="152">
        <v>45712.75</v>
      </c>
      <c r="O1140" s="152">
        <v>45712.75</v>
      </c>
      <c r="P1140" s="152">
        <v>45712.760416666664</v>
      </c>
      <c r="Q1140" s="152">
        <v>45712.958333333336</v>
      </c>
      <c r="R1140" s="152" t="s">
        <v>118</v>
      </c>
      <c r="S1140" s="152" t="s">
        <v>118</v>
      </c>
      <c r="T1140" s="152">
        <v>45712.979166666664</v>
      </c>
      <c r="U1140" s="152">
        <v>45713.07708333333</v>
      </c>
      <c r="V1140" s="219">
        <f t="shared" si="682"/>
        <v>0.20833333333575865</v>
      </c>
      <c r="W1140" s="203">
        <v>0.20833333333333334</v>
      </c>
      <c r="X1140" s="219">
        <f t="shared" si="683"/>
        <v>2.4253099528692701E-12</v>
      </c>
      <c r="Y1140" s="96">
        <v>0</v>
      </c>
      <c r="Z1140" s="96">
        <v>59</v>
      </c>
      <c r="AA1140" s="96">
        <f t="shared" si="664"/>
        <v>59</v>
      </c>
      <c r="AB1140" s="97">
        <f t="shared" si="665"/>
        <v>0</v>
      </c>
      <c r="AC1140" s="97">
        <f t="shared" si="666"/>
        <v>4092.85</v>
      </c>
      <c r="AD1140" s="98">
        <v>4092.85</v>
      </c>
      <c r="AE1140" s="98">
        <v>4112.3999999999996</v>
      </c>
      <c r="AF1140" s="98">
        <v>4126.8</v>
      </c>
      <c r="AG1140" s="98">
        <f t="shared" si="667"/>
        <v>33.950000000000273</v>
      </c>
      <c r="AH1140" s="99">
        <v>672.5</v>
      </c>
      <c r="AI1140" s="100">
        <f t="shared" si="668"/>
        <v>2775273</v>
      </c>
      <c r="AJ1140" s="100">
        <f>(1.8*AH1140)*2</f>
        <v>2421</v>
      </c>
      <c r="AK1140" s="100">
        <v>0</v>
      </c>
      <c r="AL1140" s="100">
        <v>0</v>
      </c>
      <c r="AM1140" s="100">
        <v>0</v>
      </c>
      <c r="AN1140" s="100">
        <v>0</v>
      </c>
      <c r="AO1140" s="100">
        <v>0</v>
      </c>
      <c r="AP1140" s="100">
        <f t="shared" si="680"/>
        <v>138885</v>
      </c>
      <c r="AQ1140" s="101">
        <f t="shared" si="681"/>
        <v>2916579</v>
      </c>
      <c r="AR1140" s="101">
        <v>0</v>
      </c>
      <c r="AS1140" s="101">
        <v>0</v>
      </c>
      <c r="AT1140" s="102" t="s">
        <v>33</v>
      </c>
      <c r="AU1140" s="109" t="s">
        <v>118</v>
      </c>
      <c r="AV1140" s="100">
        <v>0</v>
      </c>
      <c r="AW1140" s="105">
        <v>0</v>
      </c>
      <c r="AX1140" s="216">
        <f t="shared" si="684"/>
        <v>0.82267131918193936</v>
      </c>
      <c r="AY1140" s="217">
        <f t="shared" si="685"/>
        <v>22832</v>
      </c>
      <c r="AZ1140" s="107"/>
      <c r="BA1140" s="94">
        <v>45712.75</v>
      </c>
      <c r="BB1140" s="94">
        <v>45712.760416666664</v>
      </c>
      <c r="BC1140" s="94">
        <v>45712.829861111109</v>
      </c>
      <c r="BD1140" s="94">
        <v>45712.954861111109</v>
      </c>
      <c r="BE1140" s="95">
        <f t="shared" si="686"/>
        <v>0.20486111110949423</v>
      </c>
      <c r="BF1140" s="95">
        <v>7.2916666666666671E-2</v>
      </c>
      <c r="BG1140" s="95">
        <v>0</v>
      </c>
      <c r="BH1140" s="95">
        <f t="shared" si="687"/>
        <v>1.0416666664241347E-2</v>
      </c>
      <c r="BI1140" s="95">
        <f t="shared" si="687"/>
        <v>6.9444444445252884E-2</v>
      </c>
      <c r="BJ1140" s="95">
        <f t="shared" si="687"/>
        <v>0.125</v>
      </c>
      <c r="BK1140" s="95">
        <f t="shared" si="688"/>
        <v>0.19444444444525288</v>
      </c>
      <c r="BL1140" s="95">
        <f t="shared" si="689"/>
        <v>0.12152777777858621</v>
      </c>
      <c r="BM1140" s="95" t="str">
        <f t="shared" si="690"/>
        <v>00:00</v>
      </c>
      <c r="BN1140" s="110"/>
    </row>
    <row r="1141" spans="1:66" s="8" customFormat="1" ht="12.75" customHeight="1" x14ac:dyDescent="0.25">
      <c r="A1141" s="150">
        <v>1051</v>
      </c>
      <c r="B1141" s="150">
        <v>70</v>
      </c>
      <c r="C1141" s="90">
        <v>8</v>
      </c>
      <c r="D1141" s="111" t="s">
        <v>148</v>
      </c>
      <c r="E1141" s="210" t="s">
        <v>1109</v>
      </c>
      <c r="F1141" s="150" t="s">
        <v>16</v>
      </c>
      <c r="G1141" s="150" t="s">
        <v>17</v>
      </c>
      <c r="H1141" s="150" t="s">
        <v>150</v>
      </c>
      <c r="I1141" s="150" t="s">
        <v>739</v>
      </c>
      <c r="J1141" s="151">
        <v>45712</v>
      </c>
      <c r="K1141" s="135" t="s">
        <v>117</v>
      </c>
      <c r="L1141" s="135">
        <v>461000768</v>
      </c>
      <c r="M1141" s="151">
        <v>45713</v>
      </c>
      <c r="N1141" s="152">
        <v>45712.958333333336</v>
      </c>
      <c r="O1141" s="152">
        <v>45712.958333333336</v>
      </c>
      <c r="P1141" s="152">
        <v>45712.965277777781</v>
      </c>
      <c r="Q1141" s="152">
        <v>45713.145833333336</v>
      </c>
      <c r="R1141" s="152" t="s">
        <v>118</v>
      </c>
      <c r="S1141" s="152" t="s">
        <v>118</v>
      </c>
      <c r="T1141" s="152">
        <v>45713.166666666664</v>
      </c>
      <c r="U1141" s="152">
        <v>45713.305555555555</v>
      </c>
      <c r="V1141" s="219">
        <f t="shared" si="682"/>
        <v>0.1875</v>
      </c>
      <c r="W1141" s="203">
        <v>0.20833333333333334</v>
      </c>
      <c r="X1141" s="219" t="str">
        <f t="shared" si="683"/>
        <v>00:00</v>
      </c>
      <c r="Y1141" s="96">
        <v>0</v>
      </c>
      <c r="Z1141" s="96">
        <v>58</v>
      </c>
      <c r="AA1141" s="96">
        <f t="shared" si="664"/>
        <v>58</v>
      </c>
      <c r="AB1141" s="97">
        <f t="shared" si="665"/>
        <v>0</v>
      </c>
      <c r="AC1141" s="97">
        <f t="shared" si="666"/>
        <v>4014.3700000000003</v>
      </c>
      <c r="AD1141" s="98">
        <v>4014.37</v>
      </c>
      <c r="AE1141" s="98">
        <v>4031.6</v>
      </c>
      <c r="AF1141" s="98">
        <v>4047</v>
      </c>
      <c r="AG1141" s="98">
        <f t="shared" si="667"/>
        <v>32.630000000000109</v>
      </c>
      <c r="AH1141" s="99">
        <v>672.5</v>
      </c>
      <c r="AI1141" s="100">
        <f t="shared" si="668"/>
        <v>2721607.5</v>
      </c>
      <c r="AJ1141" s="100">
        <f>(0*AH1141)*2</f>
        <v>0</v>
      </c>
      <c r="AK1141" s="100">
        <v>0</v>
      </c>
      <c r="AL1141" s="100">
        <v>24140</v>
      </c>
      <c r="AM1141" s="100">
        <v>0</v>
      </c>
      <c r="AN1141" s="100">
        <v>0</v>
      </c>
      <c r="AO1141" s="100">
        <v>0</v>
      </c>
      <c r="AP1141" s="100">
        <f t="shared" si="680"/>
        <v>137288</v>
      </c>
      <c r="AQ1141" s="101">
        <f t="shared" si="681"/>
        <v>2883036</v>
      </c>
      <c r="AR1141" s="101">
        <v>0</v>
      </c>
      <c r="AS1141" s="101">
        <v>0</v>
      </c>
      <c r="AT1141" s="102" t="s">
        <v>33</v>
      </c>
      <c r="AU1141" s="109">
        <v>9</v>
      </c>
      <c r="AV1141" s="100">
        <f>18.68-13.18</f>
        <v>5.5</v>
      </c>
      <c r="AW1141" s="105">
        <v>0</v>
      </c>
      <c r="AX1141" s="216">
        <f t="shared" si="684"/>
        <v>0.80627625401532266</v>
      </c>
      <c r="AY1141" s="217">
        <f t="shared" si="685"/>
        <v>21944</v>
      </c>
      <c r="AZ1141" s="107"/>
      <c r="BA1141" s="94">
        <v>45712.958333333336</v>
      </c>
      <c r="BB1141" s="94">
        <v>45712.965277777781</v>
      </c>
      <c r="BC1141" s="94">
        <v>45712.965277777781</v>
      </c>
      <c r="BD1141" s="94">
        <v>45713.111111111109</v>
      </c>
      <c r="BE1141" s="95">
        <f t="shared" si="686"/>
        <v>0.15277777777373558</v>
      </c>
      <c r="BF1141" s="95">
        <v>1.1111111111111112E-2</v>
      </c>
      <c r="BG1141" s="95">
        <v>6.2500000000000003E-3</v>
      </c>
      <c r="BH1141" s="95">
        <f t="shared" si="687"/>
        <v>6.9444444452528842E-3</v>
      </c>
      <c r="BI1141" s="95">
        <f t="shared" si="687"/>
        <v>0</v>
      </c>
      <c r="BJ1141" s="95">
        <f t="shared" si="687"/>
        <v>0.14583333332848269</v>
      </c>
      <c r="BK1141" s="95">
        <f t="shared" si="688"/>
        <v>0.14583333332848269</v>
      </c>
      <c r="BL1141" s="95">
        <f t="shared" si="689"/>
        <v>0.12847222221737159</v>
      </c>
      <c r="BM1141" s="95" t="str">
        <f t="shared" si="690"/>
        <v>00:00</v>
      </c>
      <c r="BN1141" s="110"/>
    </row>
    <row r="1142" spans="1:66" s="8" customFormat="1" ht="12.75" customHeight="1" x14ac:dyDescent="0.25">
      <c r="A1142" s="150">
        <v>1052</v>
      </c>
      <c r="B1142" s="150">
        <v>71</v>
      </c>
      <c r="C1142" s="90">
        <v>9</v>
      </c>
      <c r="D1142" s="111" t="s">
        <v>148</v>
      </c>
      <c r="E1142" s="210" t="s">
        <v>1109</v>
      </c>
      <c r="F1142" s="150" t="s">
        <v>16</v>
      </c>
      <c r="G1142" s="150" t="s">
        <v>17</v>
      </c>
      <c r="H1142" s="150" t="s">
        <v>150</v>
      </c>
      <c r="I1142" s="150" t="s">
        <v>742</v>
      </c>
      <c r="J1142" s="151">
        <v>45712</v>
      </c>
      <c r="K1142" s="135" t="s">
        <v>122</v>
      </c>
      <c r="L1142" s="135">
        <v>461000769</v>
      </c>
      <c r="M1142" s="151">
        <v>45713</v>
      </c>
      <c r="N1142" s="152">
        <v>45713.15625</v>
      </c>
      <c r="O1142" s="152">
        <v>45713.15625</v>
      </c>
      <c r="P1142" s="152">
        <v>45713.159722222219</v>
      </c>
      <c r="Q1142" s="152">
        <v>45713.302083333336</v>
      </c>
      <c r="R1142" s="152" t="s">
        <v>118</v>
      </c>
      <c r="S1142" s="152" t="s">
        <v>118</v>
      </c>
      <c r="T1142" s="152">
        <v>45713.3125</v>
      </c>
      <c r="U1142" s="152">
        <v>45713.394444444442</v>
      </c>
      <c r="V1142" s="219">
        <f t="shared" si="682"/>
        <v>0.14583333333575865</v>
      </c>
      <c r="W1142" s="203">
        <v>0.20833333333333334</v>
      </c>
      <c r="X1142" s="219" t="str">
        <f t="shared" si="683"/>
        <v>00:00</v>
      </c>
      <c r="Y1142" s="96">
        <v>0</v>
      </c>
      <c r="Z1142" s="96">
        <v>58</v>
      </c>
      <c r="AA1142" s="96">
        <f t="shared" si="664"/>
        <v>58</v>
      </c>
      <c r="AB1142" s="97">
        <f t="shared" si="665"/>
        <v>0</v>
      </c>
      <c r="AC1142" s="97">
        <f t="shared" si="666"/>
        <v>3988.8500000000004</v>
      </c>
      <c r="AD1142" s="98">
        <v>3988.85</v>
      </c>
      <c r="AE1142" s="98">
        <v>4024.6</v>
      </c>
      <c r="AF1142" s="98">
        <v>4035.2</v>
      </c>
      <c r="AG1142" s="98">
        <f t="shared" si="667"/>
        <v>46.349999999999909</v>
      </c>
      <c r="AH1142" s="99">
        <v>672.5</v>
      </c>
      <c r="AI1142" s="100">
        <f t="shared" si="668"/>
        <v>2713672</v>
      </c>
      <c r="AJ1142" s="100">
        <f>(2*AH1142)*2</f>
        <v>2690</v>
      </c>
      <c r="AK1142" s="100">
        <v>0</v>
      </c>
      <c r="AL1142" s="100">
        <v>0</v>
      </c>
      <c r="AM1142" s="100">
        <v>0</v>
      </c>
      <c r="AN1142" s="100">
        <v>0</v>
      </c>
      <c r="AO1142" s="100">
        <v>0</v>
      </c>
      <c r="AP1142" s="100">
        <f t="shared" si="680"/>
        <v>135819</v>
      </c>
      <c r="AQ1142" s="101">
        <f t="shared" si="681"/>
        <v>2852181</v>
      </c>
      <c r="AR1142" s="101">
        <v>0</v>
      </c>
      <c r="AS1142" s="101">
        <v>0</v>
      </c>
      <c r="AT1142" s="102" t="s">
        <v>33</v>
      </c>
      <c r="AU1142" s="109" t="s">
        <v>118</v>
      </c>
      <c r="AV1142" s="100">
        <v>0</v>
      </c>
      <c r="AW1142" s="105">
        <v>0</v>
      </c>
      <c r="AX1142" s="216">
        <f t="shared" si="684"/>
        <v>1.1486419508326704</v>
      </c>
      <c r="AY1142" s="217">
        <f t="shared" si="685"/>
        <v>31171</v>
      </c>
      <c r="AZ1142" s="107"/>
      <c r="BA1142" s="94">
        <v>45713.15625</v>
      </c>
      <c r="BB1142" s="94">
        <v>45713.159722222219</v>
      </c>
      <c r="BC1142" s="94">
        <v>45713.159722222219</v>
      </c>
      <c r="BD1142" s="94">
        <v>45713.293055555558</v>
      </c>
      <c r="BE1142" s="95">
        <f t="shared" si="686"/>
        <v>0.1368055555576575</v>
      </c>
      <c r="BF1142" s="95">
        <v>0</v>
      </c>
      <c r="BG1142" s="95">
        <v>0</v>
      </c>
      <c r="BH1142" s="95">
        <f t="shared" si="687"/>
        <v>3.4722222189884633E-3</v>
      </c>
      <c r="BI1142" s="95">
        <f t="shared" si="687"/>
        <v>0</v>
      </c>
      <c r="BJ1142" s="95">
        <f t="shared" si="687"/>
        <v>0.13333333333866904</v>
      </c>
      <c r="BK1142" s="95">
        <f t="shared" si="688"/>
        <v>0.13333333333866904</v>
      </c>
      <c r="BL1142" s="95">
        <f t="shared" si="689"/>
        <v>0.13333333333866904</v>
      </c>
      <c r="BM1142" s="95" t="str">
        <f t="shared" si="690"/>
        <v>00:00</v>
      </c>
      <c r="BN1142" s="110"/>
    </row>
    <row r="1143" spans="1:66" s="8" customFormat="1" ht="12.75" customHeight="1" x14ac:dyDescent="0.25">
      <c r="A1143" s="150">
        <v>1053</v>
      </c>
      <c r="B1143" s="150">
        <v>72</v>
      </c>
      <c r="C1143" s="90">
        <v>10</v>
      </c>
      <c r="D1143" s="111" t="s">
        <v>148</v>
      </c>
      <c r="E1143" s="210" t="s">
        <v>1109</v>
      </c>
      <c r="F1143" s="150" t="s">
        <v>16</v>
      </c>
      <c r="G1143" s="150" t="s">
        <v>17</v>
      </c>
      <c r="H1143" s="150" t="s">
        <v>150</v>
      </c>
      <c r="I1143" s="150" t="s">
        <v>746</v>
      </c>
      <c r="J1143" s="151">
        <v>45712</v>
      </c>
      <c r="K1143" s="135" t="s">
        <v>117</v>
      </c>
      <c r="L1143" s="135">
        <v>461000770</v>
      </c>
      <c r="M1143" s="151">
        <v>45713</v>
      </c>
      <c r="N1143" s="152">
        <v>45713.378472222219</v>
      </c>
      <c r="O1143" s="152">
        <v>45713.364583333336</v>
      </c>
      <c r="P1143" s="152">
        <v>45713.381944444445</v>
      </c>
      <c r="Q1143" s="152">
        <v>45713.520833333336</v>
      </c>
      <c r="R1143" s="152">
        <v>45713.378472222219</v>
      </c>
      <c r="S1143" s="152" t="s">
        <v>118</v>
      </c>
      <c r="T1143" s="152">
        <v>45713.583333333336</v>
      </c>
      <c r="U1143" s="152">
        <v>45713.657638888886</v>
      </c>
      <c r="V1143" s="219">
        <f t="shared" si="682"/>
        <v>0.15625</v>
      </c>
      <c r="W1143" s="203">
        <v>0.20833333333333334</v>
      </c>
      <c r="X1143" s="219" t="str">
        <f t="shared" si="683"/>
        <v>00:00</v>
      </c>
      <c r="Y1143" s="96">
        <v>0</v>
      </c>
      <c r="Z1143" s="96">
        <v>59</v>
      </c>
      <c r="AA1143" s="96">
        <f t="shared" si="664"/>
        <v>59</v>
      </c>
      <c r="AB1143" s="97">
        <f t="shared" si="665"/>
        <v>0</v>
      </c>
      <c r="AC1143" s="97">
        <f t="shared" si="666"/>
        <v>4046.36</v>
      </c>
      <c r="AD1143" s="98">
        <v>4046.36</v>
      </c>
      <c r="AE1143" s="98">
        <v>4109.8</v>
      </c>
      <c r="AF1143" s="98">
        <v>4115</v>
      </c>
      <c r="AG1143" s="98">
        <f t="shared" si="667"/>
        <v>68.639999999999873</v>
      </c>
      <c r="AH1143" s="99">
        <v>672.5</v>
      </c>
      <c r="AI1143" s="100">
        <f t="shared" si="668"/>
        <v>2767337.5</v>
      </c>
      <c r="AJ1143" s="100">
        <f>(0.4*AH1143)*2</f>
        <v>538</v>
      </c>
      <c r="AK1143" s="100">
        <v>0</v>
      </c>
      <c r="AL1143" s="100">
        <v>0</v>
      </c>
      <c r="AM1143" s="100">
        <v>0</v>
      </c>
      <c r="AN1143" s="100">
        <v>0</v>
      </c>
      <c r="AO1143" s="100">
        <v>0</v>
      </c>
      <c r="AP1143" s="100">
        <f t="shared" si="680"/>
        <v>138394</v>
      </c>
      <c r="AQ1143" s="101">
        <f t="shared" si="681"/>
        <v>2906270</v>
      </c>
      <c r="AR1143" s="101">
        <v>0</v>
      </c>
      <c r="AS1143" s="101">
        <v>0</v>
      </c>
      <c r="AT1143" s="102" t="s">
        <v>33</v>
      </c>
      <c r="AU1143" s="109" t="s">
        <v>118</v>
      </c>
      <c r="AV1143" s="100">
        <v>0</v>
      </c>
      <c r="AW1143" s="105">
        <v>0</v>
      </c>
      <c r="AX1143" s="216">
        <f t="shared" si="684"/>
        <v>1.6680437424058292</v>
      </c>
      <c r="AY1143" s="217">
        <f t="shared" si="685"/>
        <v>46161</v>
      </c>
      <c r="AZ1143" s="107"/>
      <c r="BA1143" s="94">
        <v>45713.378472222219</v>
      </c>
      <c r="BB1143" s="94">
        <v>45713.381944444445</v>
      </c>
      <c r="BC1143" s="94">
        <v>45713.381944444445</v>
      </c>
      <c r="BD1143" s="94">
        <v>45713.505555555559</v>
      </c>
      <c r="BE1143" s="95">
        <f t="shared" si="686"/>
        <v>0.12708333334012423</v>
      </c>
      <c r="BF1143" s="95">
        <v>0</v>
      </c>
      <c r="BG1143" s="95">
        <v>0</v>
      </c>
      <c r="BH1143" s="95">
        <f t="shared" si="687"/>
        <v>3.4722222262644209E-3</v>
      </c>
      <c r="BI1143" s="95">
        <f t="shared" si="687"/>
        <v>0</v>
      </c>
      <c r="BJ1143" s="95">
        <f t="shared" si="687"/>
        <v>0.12361111111385981</v>
      </c>
      <c r="BK1143" s="95">
        <f t="shared" si="688"/>
        <v>0.12361111111385981</v>
      </c>
      <c r="BL1143" s="95">
        <f t="shared" si="689"/>
        <v>0.12361111111385981</v>
      </c>
      <c r="BM1143" s="95" t="str">
        <f t="shared" si="690"/>
        <v>00:00</v>
      </c>
      <c r="BN1143" s="110"/>
    </row>
    <row r="1144" spans="1:66" s="8" customFormat="1" ht="12.75" customHeight="1" x14ac:dyDescent="0.25">
      <c r="A1144" s="150">
        <v>1054</v>
      </c>
      <c r="B1144" s="150">
        <v>73</v>
      </c>
      <c r="C1144" s="90">
        <v>11</v>
      </c>
      <c r="D1144" s="111" t="s">
        <v>148</v>
      </c>
      <c r="E1144" s="210" t="s">
        <v>1109</v>
      </c>
      <c r="F1144" s="150" t="s">
        <v>16</v>
      </c>
      <c r="G1144" s="150" t="s">
        <v>17</v>
      </c>
      <c r="H1144" s="150" t="s">
        <v>150</v>
      </c>
      <c r="I1144" s="150" t="s">
        <v>747</v>
      </c>
      <c r="J1144" s="151">
        <v>45712</v>
      </c>
      <c r="K1144" s="135" t="s">
        <v>122</v>
      </c>
      <c r="L1144" s="135">
        <v>461000771</v>
      </c>
      <c r="M1144" s="151">
        <v>45714</v>
      </c>
      <c r="N1144" s="152">
        <v>45713.5</v>
      </c>
      <c r="O1144" s="152">
        <v>45713.5</v>
      </c>
      <c r="P1144" s="152">
        <v>45713.506944444445</v>
      </c>
      <c r="Q1144" s="152">
        <v>45713.697916666664</v>
      </c>
      <c r="R1144" s="152" t="s">
        <v>118</v>
      </c>
      <c r="S1144" s="152" t="s">
        <v>118</v>
      </c>
      <c r="T1144" s="152">
        <v>45714.145833333336</v>
      </c>
      <c r="U1144" s="152">
        <v>45714.3125</v>
      </c>
      <c r="V1144" s="219">
        <f t="shared" si="682"/>
        <v>0.19791666666424135</v>
      </c>
      <c r="W1144" s="203">
        <v>0.20833333333333334</v>
      </c>
      <c r="X1144" s="219" t="str">
        <f t="shared" si="683"/>
        <v>00:00</v>
      </c>
      <c r="Y1144" s="96">
        <v>0</v>
      </c>
      <c r="Z1144" s="96">
        <v>59</v>
      </c>
      <c r="AA1144" s="96">
        <f t="shared" si="664"/>
        <v>59</v>
      </c>
      <c r="AB1144" s="97">
        <f t="shared" si="665"/>
        <v>0</v>
      </c>
      <c r="AC1144" s="97">
        <f t="shared" si="666"/>
        <v>4129.37</v>
      </c>
      <c r="AD1144" s="98">
        <v>4129.37</v>
      </c>
      <c r="AE1144" s="98">
        <v>4128</v>
      </c>
      <c r="AF1144" s="98">
        <v>4150.8</v>
      </c>
      <c r="AG1144" s="98">
        <f t="shared" si="667"/>
        <v>21.430000000000291</v>
      </c>
      <c r="AH1144" s="99">
        <v>672.5</v>
      </c>
      <c r="AI1144" s="100">
        <f t="shared" si="668"/>
        <v>2791413</v>
      </c>
      <c r="AJ1144" s="100">
        <f>(0*AH1144)*2</f>
        <v>0</v>
      </c>
      <c r="AK1144" s="100">
        <v>0</v>
      </c>
      <c r="AL1144" s="100">
        <v>24290</v>
      </c>
      <c r="AM1144" s="100">
        <v>0</v>
      </c>
      <c r="AN1144" s="100">
        <v>0</v>
      </c>
      <c r="AO1144" s="100">
        <v>0</v>
      </c>
      <c r="AP1144" s="100">
        <f t="shared" si="680"/>
        <v>140786</v>
      </c>
      <c r="AQ1144" s="101">
        <f t="shared" si="681"/>
        <v>2956489</v>
      </c>
      <c r="AR1144" s="101">
        <v>0</v>
      </c>
      <c r="AS1144" s="101">
        <v>0</v>
      </c>
      <c r="AT1144" s="102" t="s">
        <v>33</v>
      </c>
      <c r="AU1144" s="109">
        <v>8</v>
      </c>
      <c r="AV1144" s="100">
        <f>26.07-20.57</f>
        <v>5.5</v>
      </c>
      <c r="AW1144" s="105">
        <v>0</v>
      </c>
      <c r="AX1144" s="216">
        <f t="shared" si="684"/>
        <v>0.51628601715332689</v>
      </c>
      <c r="AY1144" s="217">
        <f t="shared" si="685"/>
        <v>14412</v>
      </c>
      <c r="AZ1144" s="107"/>
      <c r="BA1144" s="94">
        <v>45713.5</v>
      </c>
      <c r="BB1144" s="94">
        <v>45713.506944444445</v>
      </c>
      <c r="BC1144" s="94">
        <v>45713.506944444445</v>
      </c>
      <c r="BD1144" s="94">
        <v>45713.646527777775</v>
      </c>
      <c r="BE1144" s="95">
        <f t="shared" si="686"/>
        <v>0.14652777777519077</v>
      </c>
      <c r="BF1144" s="95">
        <v>4.1666666666666666E-3</v>
      </c>
      <c r="BG1144" s="95">
        <v>0</v>
      </c>
      <c r="BH1144" s="95">
        <f t="shared" si="687"/>
        <v>6.9444444452528842E-3</v>
      </c>
      <c r="BI1144" s="95">
        <f t="shared" si="687"/>
        <v>0</v>
      </c>
      <c r="BJ1144" s="95">
        <f t="shared" si="687"/>
        <v>0.13958333332993789</v>
      </c>
      <c r="BK1144" s="95">
        <f t="shared" si="688"/>
        <v>0.13958333332993789</v>
      </c>
      <c r="BL1144" s="95">
        <f t="shared" si="689"/>
        <v>0.13541666666327121</v>
      </c>
      <c r="BM1144" s="95" t="str">
        <f t="shared" si="690"/>
        <v>00:00</v>
      </c>
      <c r="BN1144" s="110"/>
    </row>
    <row r="1145" spans="1:66" s="8" customFormat="1" ht="12.75" customHeight="1" x14ac:dyDescent="0.25">
      <c r="A1145" s="150">
        <v>1055</v>
      </c>
      <c r="B1145" s="150">
        <v>74</v>
      </c>
      <c r="C1145" s="90">
        <v>12</v>
      </c>
      <c r="D1145" s="111" t="s">
        <v>148</v>
      </c>
      <c r="E1145" s="210" t="s">
        <v>1109</v>
      </c>
      <c r="F1145" s="150" t="s">
        <v>16</v>
      </c>
      <c r="G1145" s="150" t="s">
        <v>17</v>
      </c>
      <c r="H1145" s="150" t="s">
        <v>150</v>
      </c>
      <c r="I1145" s="150" t="s">
        <v>749</v>
      </c>
      <c r="J1145" s="151">
        <v>45713</v>
      </c>
      <c r="K1145" s="135" t="s">
        <v>117</v>
      </c>
      <c r="L1145" s="135">
        <v>461000772</v>
      </c>
      <c r="M1145" s="151">
        <v>45714</v>
      </c>
      <c r="N1145" s="152">
        <v>45714.125</v>
      </c>
      <c r="O1145" s="152">
        <v>45714.125</v>
      </c>
      <c r="P1145" s="152">
        <v>45714.138888888891</v>
      </c>
      <c r="Q1145" s="152">
        <v>45714.302083333336</v>
      </c>
      <c r="R1145" s="152" t="s">
        <v>118</v>
      </c>
      <c r="S1145" s="152" t="s">
        <v>118</v>
      </c>
      <c r="T1145" s="152">
        <v>45714.395833333336</v>
      </c>
      <c r="U1145" s="152">
        <v>45714.559027777781</v>
      </c>
      <c r="V1145" s="219">
        <f t="shared" si="682"/>
        <v>0.17708333333575865</v>
      </c>
      <c r="W1145" s="203">
        <v>0.20833333333333334</v>
      </c>
      <c r="X1145" s="219" t="str">
        <f t="shared" si="683"/>
        <v>00:00</v>
      </c>
      <c r="Y1145" s="96">
        <v>0</v>
      </c>
      <c r="Z1145" s="96">
        <v>59</v>
      </c>
      <c r="AA1145" s="96">
        <f t="shared" si="664"/>
        <v>59</v>
      </c>
      <c r="AB1145" s="97">
        <f t="shared" si="665"/>
        <v>0</v>
      </c>
      <c r="AC1145" s="97">
        <f t="shared" si="666"/>
        <v>4083.81</v>
      </c>
      <c r="AD1145" s="98">
        <v>4083.81</v>
      </c>
      <c r="AE1145" s="98">
        <v>4095.8</v>
      </c>
      <c r="AF1145" s="98">
        <v>4117.2</v>
      </c>
      <c r="AG1145" s="98">
        <f t="shared" si="667"/>
        <v>33.389999999999873</v>
      </c>
      <c r="AH1145" s="99">
        <v>672.5</v>
      </c>
      <c r="AI1145" s="100">
        <f t="shared" si="668"/>
        <v>2768817</v>
      </c>
      <c r="AJ1145" s="100">
        <f>(0*AH1145)*2</f>
        <v>0</v>
      </c>
      <c r="AK1145" s="100">
        <v>0</v>
      </c>
      <c r="AL1145" s="100">
        <v>24290</v>
      </c>
      <c r="AM1145" s="100">
        <v>0</v>
      </c>
      <c r="AN1145" s="100">
        <v>0</v>
      </c>
      <c r="AO1145" s="100">
        <v>0</v>
      </c>
      <c r="AP1145" s="100">
        <f t="shared" si="680"/>
        <v>139656</v>
      </c>
      <c r="AQ1145" s="101">
        <f t="shared" si="681"/>
        <v>2932763</v>
      </c>
      <c r="AR1145" s="101">
        <v>0</v>
      </c>
      <c r="AS1145" s="101">
        <v>0</v>
      </c>
      <c r="AT1145" s="102" t="s">
        <v>33</v>
      </c>
      <c r="AU1145" s="109">
        <v>13</v>
      </c>
      <c r="AV1145" s="100">
        <f>26.05-18.05</f>
        <v>8</v>
      </c>
      <c r="AW1145" s="105">
        <v>0</v>
      </c>
      <c r="AX1145" s="216">
        <f t="shared" si="684"/>
        <v>0.81098805013115405</v>
      </c>
      <c r="AY1145" s="217">
        <f t="shared" si="685"/>
        <v>22455</v>
      </c>
      <c r="AZ1145" s="107"/>
      <c r="BA1145" s="94">
        <v>45714.125</v>
      </c>
      <c r="BB1145" s="94">
        <v>45714.138888888891</v>
      </c>
      <c r="BC1145" s="94">
        <v>45714.138888888891</v>
      </c>
      <c r="BD1145" s="94">
        <v>45714.255555555559</v>
      </c>
      <c r="BE1145" s="95">
        <f t="shared" si="686"/>
        <v>0.13055555555911269</v>
      </c>
      <c r="BF1145" s="95">
        <v>0</v>
      </c>
      <c r="BG1145" s="95">
        <v>0</v>
      </c>
      <c r="BH1145" s="95">
        <f t="shared" si="687"/>
        <v>1.3888888890505768E-2</v>
      </c>
      <c r="BI1145" s="95">
        <f t="shared" si="687"/>
        <v>0</v>
      </c>
      <c r="BJ1145" s="95">
        <f t="shared" si="687"/>
        <v>0.11666666666860692</v>
      </c>
      <c r="BK1145" s="95">
        <f t="shared" si="688"/>
        <v>0.11666666666860692</v>
      </c>
      <c r="BL1145" s="95">
        <f t="shared" si="689"/>
        <v>0.11666666666860692</v>
      </c>
      <c r="BM1145" s="95" t="str">
        <f t="shared" si="690"/>
        <v>00:00</v>
      </c>
      <c r="BN1145" s="110"/>
    </row>
    <row r="1146" spans="1:66" s="8" customFormat="1" ht="12.75" customHeight="1" x14ac:dyDescent="0.25">
      <c r="A1146" s="150">
        <v>1056</v>
      </c>
      <c r="B1146" s="150">
        <v>75</v>
      </c>
      <c r="C1146" s="90">
        <v>13</v>
      </c>
      <c r="D1146" s="111" t="s">
        <v>148</v>
      </c>
      <c r="E1146" s="210" t="s">
        <v>1109</v>
      </c>
      <c r="F1146" s="150" t="s">
        <v>16</v>
      </c>
      <c r="G1146" s="150" t="s">
        <v>17</v>
      </c>
      <c r="H1146" s="150" t="s">
        <v>150</v>
      </c>
      <c r="I1146" s="150" t="s">
        <v>750</v>
      </c>
      <c r="J1146" s="151">
        <v>45713</v>
      </c>
      <c r="K1146" s="135" t="s">
        <v>122</v>
      </c>
      <c r="L1146" s="135">
        <v>461000773</v>
      </c>
      <c r="M1146" s="151">
        <v>45714</v>
      </c>
      <c r="N1146" s="152">
        <v>45714.347222222219</v>
      </c>
      <c r="O1146" s="152">
        <v>45714.333333333336</v>
      </c>
      <c r="P1146" s="152">
        <v>45714.361111111109</v>
      </c>
      <c r="Q1146" s="152">
        <v>45714.520833333336</v>
      </c>
      <c r="R1146" s="152">
        <v>45714.347222222219</v>
      </c>
      <c r="S1146" s="152" t="s">
        <v>118</v>
      </c>
      <c r="T1146" s="152">
        <v>45714.604166666664</v>
      </c>
      <c r="U1146" s="152">
        <v>45714.75</v>
      </c>
      <c r="V1146" s="219">
        <f t="shared" si="682"/>
        <v>0.1875</v>
      </c>
      <c r="W1146" s="203">
        <v>0.20833333333333334</v>
      </c>
      <c r="X1146" s="219" t="str">
        <f t="shared" si="683"/>
        <v>00:00</v>
      </c>
      <c r="Y1146" s="96">
        <v>0</v>
      </c>
      <c r="Z1146" s="96">
        <v>58</v>
      </c>
      <c r="AA1146" s="96">
        <f t="shared" si="664"/>
        <v>58</v>
      </c>
      <c r="AB1146" s="97">
        <f t="shared" si="665"/>
        <v>0</v>
      </c>
      <c r="AC1146" s="97">
        <f t="shared" si="666"/>
        <v>3997.51</v>
      </c>
      <c r="AD1146" s="98">
        <v>3997.51</v>
      </c>
      <c r="AE1146" s="98">
        <v>4034</v>
      </c>
      <c r="AF1146" s="98">
        <v>4042.8</v>
      </c>
      <c r="AG1146" s="98">
        <f t="shared" si="667"/>
        <v>45.289999999999964</v>
      </c>
      <c r="AH1146" s="99">
        <v>672.5</v>
      </c>
      <c r="AI1146" s="100">
        <f t="shared" si="668"/>
        <v>2718783</v>
      </c>
      <c r="AJ1146" s="100">
        <f>(0*AH1146)*2</f>
        <v>0</v>
      </c>
      <c r="AK1146" s="100">
        <v>0</v>
      </c>
      <c r="AL1146" s="100">
        <v>24140</v>
      </c>
      <c r="AM1146" s="100">
        <v>0</v>
      </c>
      <c r="AN1146" s="100">
        <v>0</v>
      </c>
      <c r="AO1146" s="100">
        <v>0</v>
      </c>
      <c r="AP1146" s="100">
        <f t="shared" si="680"/>
        <v>137147</v>
      </c>
      <c r="AQ1146" s="101">
        <f t="shared" si="681"/>
        <v>2880070</v>
      </c>
      <c r="AR1146" s="101">
        <v>0</v>
      </c>
      <c r="AS1146" s="101">
        <v>0</v>
      </c>
      <c r="AT1146" s="102" t="s">
        <v>33</v>
      </c>
      <c r="AU1146" s="109">
        <v>3</v>
      </c>
      <c r="AV1146" s="100">
        <f>13.43-7.93</f>
        <v>5.5</v>
      </c>
      <c r="AW1146" s="105">
        <v>0</v>
      </c>
      <c r="AX1146" s="216">
        <f t="shared" si="684"/>
        <v>1.1202631839319275</v>
      </c>
      <c r="AY1146" s="217">
        <f t="shared" si="685"/>
        <v>30458</v>
      </c>
      <c r="AZ1146" s="107"/>
      <c r="BA1146" s="94">
        <v>45714.347222222219</v>
      </c>
      <c r="BB1146" s="94">
        <v>45714.361111111109</v>
      </c>
      <c r="BC1146" s="94">
        <v>45714.361111111109</v>
      </c>
      <c r="BD1146" s="94">
        <v>45714.48333333333</v>
      </c>
      <c r="BE1146" s="95">
        <f t="shared" si="686"/>
        <v>0.13611111111094942</v>
      </c>
      <c r="BF1146" s="95">
        <v>0</v>
      </c>
      <c r="BG1146" s="95">
        <v>0</v>
      </c>
      <c r="BH1146" s="95">
        <f t="shared" si="687"/>
        <v>1.3888888890505768E-2</v>
      </c>
      <c r="BI1146" s="95">
        <f t="shared" si="687"/>
        <v>0</v>
      </c>
      <c r="BJ1146" s="95">
        <f t="shared" si="687"/>
        <v>0.12222222222044365</v>
      </c>
      <c r="BK1146" s="95">
        <f t="shared" si="688"/>
        <v>0.12222222222044365</v>
      </c>
      <c r="BL1146" s="95">
        <f t="shared" si="689"/>
        <v>0.12222222222044365</v>
      </c>
      <c r="BM1146" s="95" t="str">
        <f t="shared" si="690"/>
        <v>00:00</v>
      </c>
      <c r="BN1146" s="110"/>
    </row>
    <row r="1147" spans="1:66" s="8" customFormat="1" ht="12.75" customHeight="1" x14ac:dyDescent="0.25">
      <c r="A1147" s="150">
        <v>1057</v>
      </c>
      <c r="B1147" s="150">
        <v>76</v>
      </c>
      <c r="C1147" s="90">
        <v>14</v>
      </c>
      <c r="D1147" s="111" t="s">
        <v>148</v>
      </c>
      <c r="E1147" s="210" t="s">
        <v>1109</v>
      </c>
      <c r="F1147" s="150" t="s">
        <v>16</v>
      </c>
      <c r="G1147" s="150" t="s">
        <v>17</v>
      </c>
      <c r="H1147" s="150" t="s">
        <v>150</v>
      </c>
      <c r="I1147" s="150" t="s">
        <v>757</v>
      </c>
      <c r="J1147" s="151">
        <v>45713</v>
      </c>
      <c r="K1147" s="135" t="s">
        <v>117</v>
      </c>
      <c r="L1147" s="135">
        <v>461000774</v>
      </c>
      <c r="M1147" s="151">
        <v>45714</v>
      </c>
      <c r="N1147" s="152">
        <v>45714.604166666664</v>
      </c>
      <c r="O1147" s="152">
        <v>45714.604166666664</v>
      </c>
      <c r="P1147" s="152">
        <v>45714.611111111109</v>
      </c>
      <c r="Q1147" s="152">
        <v>45714.75</v>
      </c>
      <c r="R1147" s="152" t="s">
        <v>118</v>
      </c>
      <c r="S1147" s="152" t="s">
        <v>118</v>
      </c>
      <c r="T1147" s="152">
        <v>45714.791666666664</v>
      </c>
      <c r="U1147" s="152">
        <v>45714.866666666669</v>
      </c>
      <c r="V1147" s="219">
        <f t="shared" si="682"/>
        <v>0.14583333333575865</v>
      </c>
      <c r="W1147" s="203">
        <v>0.20833333333333334</v>
      </c>
      <c r="X1147" s="219" t="str">
        <f t="shared" si="683"/>
        <v>00:00</v>
      </c>
      <c r="Y1147" s="96">
        <v>4</v>
      </c>
      <c r="Z1147" s="96">
        <v>54</v>
      </c>
      <c r="AA1147" s="96">
        <f t="shared" si="664"/>
        <v>58</v>
      </c>
      <c r="AB1147" s="97">
        <f t="shared" si="665"/>
        <v>272.79655172413794</v>
      </c>
      <c r="AC1147" s="97">
        <f t="shared" si="666"/>
        <v>3682.7534482758624</v>
      </c>
      <c r="AD1147" s="98">
        <v>3955.55</v>
      </c>
      <c r="AE1147" s="98">
        <v>4029.3</v>
      </c>
      <c r="AF1147" s="98">
        <v>4031.8</v>
      </c>
      <c r="AG1147" s="98">
        <f t="shared" si="667"/>
        <v>76.25</v>
      </c>
      <c r="AH1147" s="99">
        <v>672.5</v>
      </c>
      <c r="AI1147" s="100">
        <f t="shared" si="668"/>
        <v>2711385.5</v>
      </c>
      <c r="AJ1147" s="100">
        <f>(0.2*AH1147)*2</f>
        <v>269</v>
      </c>
      <c r="AK1147" s="100">
        <v>0</v>
      </c>
      <c r="AL1147" s="100">
        <v>0</v>
      </c>
      <c r="AM1147" s="100">
        <v>0</v>
      </c>
      <c r="AN1147" s="100">
        <v>0</v>
      </c>
      <c r="AO1147" s="100">
        <v>0</v>
      </c>
      <c r="AP1147" s="100">
        <f t="shared" si="680"/>
        <v>135583</v>
      </c>
      <c r="AQ1147" s="101">
        <f t="shared" si="681"/>
        <v>2847238</v>
      </c>
      <c r="AR1147" s="101">
        <v>0</v>
      </c>
      <c r="AS1147" s="101">
        <v>0</v>
      </c>
      <c r="AT1147" s="102" t="s">
        <v>33</v>
      </c>
      <c r="AU1147" s="109" t="s">
        <v>118</v>
      </c>
      <c r="AV1147" s="100">
        <v>0</v>
      </c>
      <c r="AW1147" s="105">
        <v>0</v>
      </c>
      <c r="AX1147" s="216">
        <f t="shared" si="684"/>
        <v>1.8912148420060517</v>
      </c>
      <c r="AY1147" s="217">
        <f t="shared" si="685"/>
        <v>51279</v>
      </c>
      <c r="AZ1147" s="107"/>
      <c r="BA1147" s="94">
        <v>45714.604166666664</v>
      </c>
      <c r="BB1147" s="94">
        <v>45714.611111111109</v>
      </c>
      <c r="BC1147" s="94">
        <v>45714.611111111109</v>
      </c>
      <c r="BD1147" s="94">
        <v>45714.725694444445</v>
      </c>
      <c r="BE1147" s="95">
        <f t="shared" si="686"/>
        <v>0.12152777778101154</v>
      </c>
      <c r="BF1147" s="95">
        <v>0</v>
      </c>
      <c r="BG1147" s="95">
        <v>3.472222222222222E-3</v>
      </c>
      <c r="BH1147" s="95">
        <f t="shared" si="687"/>
        <v>6.9444444452528842E-3</v>
      </c>
      <c r="BI1147" s="95">
        <f t="shared" si="687"/>
        <v>0</v>
      </c>
      <c r="BJ1147" s="95">
        <f t="shared" si="687"/>
        <v>0.11458333333575865</v>
      </c>
      <c r="BK1147" s="95">
        <f t="shared" si="688"/>
        <v>0.11458333333575865</v>
      </c>
      <c r="BL1147" s="95">
        <f t="shared" si="689"/>
        <v>0.11111111111353643</v>
      </c>
      <c r="BM1147" s="95" t="str">
        <f t="shared" si="690"/>
        <v>00:00</v>
      </c>
      <c r="BN1147" s="110"/>
    </row>
    <row r="1148" spans="1:66" s="8" customFormat="1" ht="12.75" customHeight="1" x14ac:dyDescent="0.25">
      <c r="A1148" s="150">
        <v>1058</v>
      </c>
      <c r="B1148" s="150">
        <v>77</v>
      </c>
      <c r="C1148" s="90">
        <v>15</v>
      </c>
      <c r="D1148" s="111" t="s">
        <v>148</v>
      </c>
      <c r="E1148" s="210" t="s">
        <v>1109</v>
      </c>
      <c r="F1148" s="150" t="s">
        <v>16</v>
      </c>
      <c r="G1148" s="150" t="s">
        <v>17</v>
      </c>
      <c r="H1148" s="150" t="s">
        <v>150</v>
      </c>
      <c r="I1148" s="150" t="s">
        <v>758</v>
      </c>
      <c r="J1148" s="151">
        <v>45714</v>
      </c>
      <c r="K1148" s="135" t="s">
        <v>122</v>
      </c>
      <c r="L1148" s="135">
        <v>461000775</v>
      </c>
      <c r="M1148" s="151">
        <v>45715</v>
      </c>
      <c r="N1148" s="152">
        <v>45714.791666666664</v>
      </c>
      <c r="O1148" s="152">
        <v>45714.791666666664</v>
      </c>
      <c r="P1148" s="152">
        <v>45714.798611111109</v>
      </c>
      <c r="Q1148" s="152">
        <v>45714.958333333336</v>
      </c>
      <c r="R1148" s="152" t="s">
        <v>118</v>
      </c>
      <c r="S1148" s="152" t="s">
        <v>118</v>
      </c>
      <c r="T1148" s="152">
        <v>45715.013888888891</v>
      </c>
      <c r="U1148" s="152">
        <v>45715.128472222219</v>
      </c>
      <c r="V1148" s="219">
        <f t="shared" si="682"/>
        <v>0.16666666667151731</v>
      </c>
      <c r="W1148" s="203">
        <v>0.20833333333333334</v>
      </c>
      <c r="X1148" s="219" t="str">
        <f t="shared" si="683"/>
        <v>00:00</v>
      </c>
      <c r="Y1148" s="96">
        <v>0</v>
      </c>
      <c r="Z1148" s="96">
        <v>59</v>
      </c>
      <c r="AA1148" s="96">
        <f t="shared" si="664"/>
        <v>59</v>
      </c>
      <c r="AB1148" s="97">
        <f t="shared" si="665"/>
        <v>0</v>
      </c>
      <c r="AC1148" s="97">
        <f t="shared" si="666"/>
        <v>4084.67</v>
      </c>
      <c r="AD1148" s="98">
        <v>4084.67</v>
      </c>
      <c r="AE1148" s="98">
        <v>4095.4</v>
      </c>
      <c r="AF1148" s="98">
        <v>4118.6000000000004</v>
      </c>
      <c r="AG1148" s="98">
        <f t="shared" si="667"/>
        <v>33.930000000000291</v>
      </c>
      <c r="AH1148" s="99">
        <v>672.5</v>
      </c>
      <c r="AI1148" s="100">
        <f t="shared" si="668"/>
        <v>2769758.5000000005</v>
      </c>
      <c r="AJ1148" s="100">
        <f>(0*AH1148)*2</f>
        <v>0</v>
      </c>
      <c r="AK1148" s="100">
        <v>0</v>
      </c>
      <c r="AL1148" s="100">
        <v>24290</v>
      </c>
      <c r="AM1148" s="100">
        <v>0</v>
      </c>
      <c r="AN1148" s="100">
        <v>0</v>
      </c>
      <c r="AO1148" s="100">
        <v>0</v>
      </c>
      <c r="AP1148" s="100">
        <f t="shared" si="680"/>
        <v>139703</v>
      </c>
      <c r="AQ1148" s="101">
        <f t="shared" si="681"/>
        <v>2933752</v>
      </c>
      <c r="AR1148" s="101">
        <v>0</v>
      </c>
      <c r="AS1148" s="101">
        <v>0</v>
      </c>
      <c r="AT1148" s="102" t="s">
        <v>33</v>
      </c>
      <c r="AU1148" s="109">
        <v>13</v>
      </c>
      <c r="AV1148" s="100">
        <f>31.9-20.4</f>
        <v>11.5</v>
      </c>
      <c r="AW1148" s="105">
        <v>0</v>
      </c>
      <c r="AX1148" s="216">
        <f t="shared" si="684"/>
        <v>0.82382362938863418</v>
      </c>
      <c r="AY1148" s="217">
        <f t="shared" si="685"/>
        <v>22818</v>
      </c>
      <c r="AZ1148" s="107"/>
      <c r="BA1148" s="94">
        <v>45714.791666666664</v>
      </c>
      <c r="BB1148" s="94">
        <v>45714.798611111109</v>
      </c>
      <c r="BC1148" s="94">
        <v>45714.798611111109</v>
      </c>
      <c r="BD1148" s="94">
        <v>45714.927083333336</v>
      </c>
      <c r="BE1148" s="95">
        <f t="shared" si="686"/>
        <v>0.13541666667151731</v>
      </c>
      <c r="BF1148" s="95">
        <v>0</v>
      </c>
      <c r="BG1148" s="95">
        <v>6.9444444444444441E-3</v>
      </c>
      <c r="BH1148" s="95">
        <f t="shared" si="687"/>
        <v>6.9444444452528842E-3</v>
      </c>
      <c r="BI1148" s="95">
        <f t="shared" si="687"/>
        <v>0</v>
      </c>
      <c r="BJ1148" s="95">
        <f t="shared" si="687"/>
        <v>0.12847222222626442</v>
      </c>
      <c r="BK1148" s="95">
        <f t="shared" si="688"/>
        <v>0.12847222222626442</v>
      </c>
      <c r="BL1148" s="95">
        <f t="shared" si="689"/>
        <v>0.12152777778181997</v>
      </c>
      <c r="BM1148" s="95" t="str">
        <f t="shared" si="690"/>
        <v>00:00</v>
      </c>
      <c r="BN1148" s="110"/>
    </row>
    <row r="1149" spans="1:66" s="8" customFormat="1" ht="12.75" customHeight="1" x14ac:dyDescent="0.25">
      <c r="A1149" s="150">
        <v>1059</v>
      </c>
      <c r="B1149" s="150">
        <v>78</v>
      </c>
      <c r="C1149" s="90">
        <v>16</v>
      </c>
      <c r="D1149" s="111" t="s">
        <v>148</v>
      </c>
      <c r="E1149" s="210" t="s">
        <v>1109</v>
      </c>
      <c r="F1149" s="150" t="s">
        <v>16</v>
      </c>
      <c r="G1149" s="150" t="s">
        <v>17</v>
      </c>
      <c r="H1149" s="150" t="s">
        <v>150</v>
      </c>
      <c r="I1149" s="150" t="s">
        <v>762</v>
      </c>
      <c r="J1149" s="151">
        <v>45714</v>
      </c>
      <c r="K1149" s="135" t="s">
        <v>117</v>
      </c>
      <c r="L1149" s="135">
        <v>461000776</v>
      </c>
      <c r="M1149" s="151">
        <v>45715</v>
      </c>
      <c r="N1149" s="152">
        <v>45714.958333333336</v>
      </c>
      <c r="O1149" s="152">
        <v>45714.958333333336</v>
      </c>
      <c r="P1149" s="152">
        <v>45714.975694444445</v>
      </c>
      <c r="Q1149" s="152">
        <v>45715.145833333336</v>
      </c>
      <c r="R1149" s="152" t="s">
        <v>118</v>
      </c>
      <c r="S1149" s="152" t="s">
        <v>118</v>
      </c>
      <c r="T1149" s="152">
        <v>45715.208333333336</v>
      </c>
      <c r="U1149" s="152">
        <v>45715.36041666667</v>
      </c>
      <c r="V1149" s="219">
        <f t="shared" si="682"/>
        <v>0.1875</v>
      </c>
      <c r="W1149" s="203">
        <v>0.20833333333333334</v>
      </c>
      <c r="X1149" s="219" t="str">
        <f t="shared" si="683"/>
        <v>00:00</v>
      </c>
      <c r="Y1149" s="96">
        <v>0</v>
      </c>
      <c r="Z1149" s="96">
        <v>58</v>
      </c>
      <c r="AA1149" s="96">
        <f t="shared" si="664"/>
        <v>58</v>
      </c>
      <c r="AB1149" s="97">
        <f t="shared" si="665"/>
        <v>0</v>
      </c>
      <c r="AC1149" s="97">
        <f t="shared" si="666"/>
        <v>3987.0399999999995</v>
      </c>
      <c r="AD1149" s="98">
        <v>3987.04</v>
      </c>
      <c r="AE1149" s="98">
        <v>4028.8</v>
      </c>
      <c r="AF1149" s="98">
        <v>4037</v>
      </c>
      <c r="AG1149" s="98">
        <f t="shared" si="667"/>
        <v>49.960000000000036</v>
      </c>
      <c r="AH1149" s="99">
        <v>672.5</v>
      </c>
      <c r="AI1149" s="100">
        <f t="shared" si="668"/>
        <v>2714882.5</v>
      </c>
      <c r="AJ1149" s="100">
        <f>(1.4*AH1149)*2</f>
        <v>1882.9999999999998</v>
      </c>
      <c r="AK1149" s="100">
        <v>0</v>
      </c>
      <c r="AL1149" s="100">
        <v>0</v>
      </c>
      <c r="AM1149" s="100">
        <v>0</v>
      </c>
      <c r="AN1149" s="100">
        <v>0</v>
      </c>
      <c r="AO1149" s="100">
        <v>0</v>
      </c>
      <c r="AP1149" s="100">
        <f t="shared" si="680"/>
        <v>135839</v>
      </c>
      <c r="AQ1149" s="101">
        <f t="shared" si="681"/>
        <v>2852605</v>
      </c>
      <c r="AR1149" s="101">
        <v>0</v>
      </c>
      <c r="AS1149" s="101">
        <v>0</v>
      </c>
      <c r="AT1149" s="102" t="s">
        <v>33</v>
      </c>
      <c r="AU1149" s="109" t="s">
        <v>118</v>
      </c>
      <c r="AV1149" s="100">
        <v>0</v>
      </c>
      <c r="AW1149" s="105">
        <v>0</v>
      </c>
      <c r="AX1149" s="216">
        <f t="shared" si="684"/>
        <v>1.2375526380975981</v>
      </c>
      <c r="AY1149" s="217">
        <f t="shared" si="685"/>
        <v>33599</v>
      </c>
      <c r="AZ1149" s="107"/>
      <c r="BA1149" s="94">
        <v>45714.958333333336</v>
      </c>
      <c r="BB1149" s="94">
        <v>45714.975694444445</v>
      </c>
      <c r="BC1149" s="94">
        <v>45714.975694444445</v>
      </c>
      <c r="BD1149" s="94">
        <v>45715.128472222219</v>
      </c>
      <c r="BE1149" s="95">
        <f t="shared" si="686"/>
        <v>0.17013888888322981</v>
      </c>
      <c r="BF1149" s="95">
        <v>3.472222222222222E-3</v>
      </c>
      <c r="BG1149" s="95">
        <v>2.4305555555555556E-2</v>
      </c>
      <c r="BH1149" s="95">
        <f t="shared" si="687"/>
        <v>1.7361111109494232E-2</v>
      </c>
      <c r="BI1149" s="95">
        <f t="shared" si="687"/>
        <v>0</v>
      </c>
      <c r="BJ1149" s="95">
        <f t="shared" si="687"/>
        <v>0.15277777777373558</v>
      </c>
      <c r="BK1149" s="95">
        <f t="shared" si="688"/>
        <v>0.15277777777373558</v>
      </c>
      <c r="BL1149" s="95">
        <f t="shared" si="689"/>
        <v>0.12499999999595782</v>
      </c>
      <c r="BM1149" s="95" t="str">
        <f t="shared" si="690"/>
        <v>00:00</v>
      </c>
      <c r="BN1149" s="110"/>
    </row>
    <row r="1150" spans="1:66" s="8" customFormat="1" ht="12.75" customHeight="1" x14ac:dyDescent="0.25">
      <c r="A1150" s="150">
        <v>1060</v>
      </c>
      <c r="B1150" s="150">
        <v>79</v>
      </c>
      <c r="C1150" s="90">
        <v>18</v>
      </c>
      <c r="D1150" s="111" t="s">
        <v>113</v>
      </c>
      <c r="E1150" s="210" t="s">
        <v>1084</v>
      </c>
      <c r="F1150" s="150" t="s">
        <v>19</v>
      </c>
      <c r="G1150" s="150" t="s">
        <v>17</v>
      </c>
      <c r="H1150" s="150" t="s">
        <v>150</v>
      </c>
      <c r="I1150" s="150" t="s">
        <v>763</v>
      </c>
      <c r="J1150" s="151">
        <v>45715</v>
      </c>
      <c r="K1150" s="135" t="s">
        <v>122</v>
      </c>
      <c r="L1150" s="135">
        <v>461000777</v>
      </c>
      <c r="M1150" s="151">
        <v>45715</v>
      </c>
      <c r="N1150" s="152">
        <v>45715.385416666664</v>
      </c>
      <c r="O1150" s="152">
        <v>45715.385416666664</v>
      </c>
      <c r="P1150" s="152">
        <v>45715.409722222219</v>
      </c>
      <c r="Q1150" s="152">
        <v>45715.552083333336</v>
      </c>
      <c r="R1150" s="152" t="s">
        <v>118</v>
      </c>
      <c r="S1150" s="152" t="s">
        <v>118</v>
      </c>
      <c r="T1150" s="152">
        <v>45715.555555555555</v>
      </c>
      <c r="U1150" s="152">
        <v>45715.642361111109</v>
      </c>
      <c r="V1150" s="219">
        <f t="shared" si="682"/>
        <v>0.16666666667151731</v>
      </c>
      <c r="W1150" s="203">
        <v>0.20833333333333334</v>
      </c>
      <c r="X1150" s="219" t="str">
        <f t="shared" si="683"/>
        <v>00:00</v>
      </c>
      <c r="Y1150" s="96">
        <v>0</v>
      </c>
      <c r="Z1150" s="96">
        <v>58</v>
      </c>
      <c r="AA1150" s="96">
        <f t="shared" si="664"/>
        <v>58</v>
      </c>
      <c r="AB1150" s="97">
        <f t="shared" si="665"/>
        <v>0</v>
      </c>
      <c r="AC1150" s="97">
        <f t="shared" si="666"/>
        <v>4038.9399999999996</v>
      </c>
      <c r="AD1150" s="98">
        <v>4038.94</v>
      </c>
      <c r="AE1150" s="98">
        <v>4027.7</v>
      </c>
      <c r="AF1150" s="98">
        <v>4054.6</v>
      </c>
      <c r="AG1150" s="98">
        <f t="shared" si="667"/>
        <v>15.659999999999854</v>
      </c>
      <c r="AH1150" s="99">
        <v>672.5</v>
      </c>
      <c r="AI1150" s="100">
        <f t="shared" si="668"/>
        <v>2726718.5</v>
      </c>
      <c r="AJ1150" s="100">
        <f>(0*AH1150)*2</f>
        <v>0</v>
      </c>
      <c r="AK1150" s="100">
        <v>0</v>
      </c>
      <c r="AL1150" s="100">
        <v>24140</v>
      </c>
      <c r="AM1150" s="100">
        <v>0</v>
      </c>
      <c r="AN1150" s="100">
        <v>0</v>
      </c>
      <c r="AO1150" s="100">
        <v>0</v>
      </c>
      <c r="AP1150" s="100">
        <f t="shared" si="680"/>
        <v>137543</v>
      </c>
      <c r="AQ1150" s="101">
        <f t="shared" si="681"/>
        <v>2888402</v>
      </c>
      <c r="AR1150" s="101">
        <v>0</v>
      </c>
      <c r="AS1150" s="101">
        <v>0</v>
      </c>
      <c r="AT1150" s="102" t="s">
        <v>33</v>
      </c>
      <c r="AU1150" s="109">
        <v>12</v>
      </c>
      <c r="AV1150" s="100">
        <f>33.46-23.96</f>
        <v>9.5</v>
      </c>
      <c r="AW1150" s="105">
        <v>0</v>
      </c>
      <c r="AX1150" s="216">
        <f t="shared" si="684"/>
        <v>0.38622798796428387</v>
      </c>
      <c r="AY1150" s="217">
        <f t="shared" si="685"/>
        <v>10532</v>
      </c>
      <c r="AZ1150" s="107"/>
      <c r="BA1150" s="94">
        <v>45715.385416666664</v>
      </c>
      <c r="BB1150" s="94">
        <v>45715.409722222219</v>
      </c>
      <c r="BC1150" s="94">
        <v>45715.409722222219</v>
      </c>
      <c r="BD1150" s="94">
        <v>45715.538194444445</v>
      </c>
      <c r="BE1150" s="95">
        <f t="shared" si="686"/>
        <v>0.15277777778101154</v>
      </c>
      <c r="BF1150" s="95">
        <v>0</v>
      </c>
      <c r="BG1150" s="95">
        <v>0</v>
      </c>
      <c r="BH1150" s="95">
        <f t="shared" si="687"/>
        <v>2.4305555554747116E-2</v>
      </c>
      <c r="BI1150" s="95">
        <f t="shared" si="687"/>
        <v>0</v>
      </c>
      <c r="BJ1150" s="95">
        <f t="shared" si="687"/>
        <v>0.12847222222626442</v>
      </c>
      <c r="BK1150" s="95">
        <f t="shared" si="688"/>
        <v>0.12847222222626442</v>
      </c>
      <c r="BL1150" s="95">
        <f t="shared" si="689"/>
        <v>0.12847222222626442</v>
      </c>
      <c r="BM1150" s="95" t="str">
        <f t="shared" si="690"/>
        <v>00:00</v>
      </c>
      <c r="BN1150" s="110"/>
    </row>
    <row r="1151" spans="1:66" s="8" customFormat="1" ht="12.75" customHeight="1" x14ac:dyDescent="0.25">
      <c r="A1151" s="150">
        <v>1061</v>
      </c>
      <c r="B1151" s="150">
        <v>80</v>
      </c>
      <c r="C1151" s="90">
        <v>1</v>
      </c>
      <c r="D1151" s="111" t="s">
        <v>148</v>
      </c>
      <c r="E1151" s="210" t="s">
        <v>1113</v>
      </c>
      <c r="F1151" s="150" t="s">
        <v>19</v>
      </c>
      <c r="G1151" s="150" t="s">
        <v>17</v>
      </c>
      <c r="H1151" s="150" t="s">
        <v>150</v>
      </c>
      <c r="I1151" s="150" t="s">
        <v>764</v>
      </c>
      <c r="J1151" s="151">
        <v>45715</v>
      </c>
      <c r="K1151" s="135" t="s">
        <v>117</v>
      </c>
      <c r="L1151" s="135">
        <v>461000778</v>
      </c>
      <c r="M1151" s="151">
        <v>45715</v>
      </c>
      <c r="N1151" s="152">
        <v>45715.520833333336</v>
      </c>
      <c r="O1151" s="152">
        <v>45715.520833333336</v>
      </c>
      <c r="P1151" s="152">
        <v>45715.524305555555</v>
      </c>
      <c r="Q1151" s="152">
        <v>45715.6875</v>
      </c>
      <c r="R1151" s="152" t="s">
        <v>118</v>
      </c>
      <c r="S1151" s="152" t="s">
        <v>118</v>
      </c>
      <c r="T1151" s="152">
        <v>45715.708333333336</v>
      </c>
      <c r="U1151" s="152">
        <v>45715.758333333331</v>
      </c>
      <c r="V1151" s="219">
        <f t="shared" si="682"/>
        <v>0.16666666666424135</v>
      </c>
      <c r="W1151" s="203">
        <v>0.20833333333333334</v>
      </c>
      <c r="X1151" s="219" t="str">
        <f t="shared" si="683"/>
        <v>00:00</v>
      </c>
      <c r="Y1151" s="96">
        <v>0</v>
      </c>
      <c r="Z1151" s="96">
        <v>57</v>
      </c>
      <c r="AA1151" s="96">
        <f t="shared" si="664"/>
        <v>57</v>
      </c>
      <c r="AB1151" s="97">
        <f t="shared" si="665"/>
        <v>0</v>
      </c>
      <c r="AC1151" s="97">
        <f t="shared" si="666"/>
        <v>3927.0400000000004</v>
      </c>
      <c r="AD1151" s="98">
        <v>3927.04</v>
      </c>
      <c r="AE1151" s="98">
        <v>3963</v>
      </c>
      <c r="AF1151" s="98">
        <v>3968.8</v>
      </c>
      <c r="AG1151" s="98">
        <f t="shared" si="667"/>
        <v>41.760000000000218</v>
      </c>
      <c r="AH1151" s="99">
        <v>672.5</v>
      </c>
      <c r="AI1151" s="100">
        <f t="shared" si="668"/>
        <v>2669018</v>
      </c>
      <c r="AJ1151" s="100">
        <f>(1*AH1151)*2</f>
        <v>1345</v>
      </c>
      <c r="AK1151" s="100">
        <v>0</v>
      </c>
      <c r="AL1151" s="100">
        <v>0</v>
      </c>
      <c r="AM1151" s="100">
        <v>0</v>
      </c>
      <c r="AN1151" s="100">
        <v>0</v>
      </c>
      <c r="AO1151" s="100">
        <v>0</v>
      </c>
      <c r="AP1151" s="100">
        <f t="shared" si="680"/>
        <v>133519</v>
      </c>
      <c r="AQ1151" s="101">
        <f t="shared" si="681"/>
        <v>2803882</v>
      </c>
      <c r="AR1151" s="101">
        <v>0</v>
      </c>
      <c r="AS1151" s="101">
        <v>0</v>
      </c>
      <c r="AT1151" s="102" t="s">
        <v>33</v>
      </c>
      <c r="AU1151" s="109" t="s">
        <v>118</v>
      </c>
      <c r="AV1151" s="100">
        <v>0</v>
      </c>
      <c r="AW1151" s="105">
        <v>0</v>
      </c>
      <c r="AX1151" s="216">
        <f t="shared" si="684"/>
        <v>1.0522072162870444</v>
      </c>
      <c r="AY1151" s="217">
        <f t="shared" si="685"/>
        <v>28084</v>
      </c>
      <c r="AZ1151" s="107"/>
      <c r="BA1151" s="94">
        <v>45715.520833333336</v>
      </c>
      <c r="BB1151" s="94">
        <v>45715.524305555555</v>
      </c>
      <c r="BC1151" s="94">
        <v>45715.538194444445</v>
      </c>
      <c r="BD1151" s="94">
        <v>45715.65625</v>
      </c>
      <c r="BE1151" s="95">
        <f t="shared" si="686"/>
        <v>0.13541666666424135</v>
      </c>
      <c r="BF1151" s="95">
        <v>0</v>
      </c>
      <c r="BG1151" s="95">
        <v>1.3888888888888888E-2</v>
      </c>
      <c r="BH1151" s="95">
        <f t="shared" si="687"/>
        <v>3.4722222189884633E-3</v>
      </c>
      <c r="BI1151" s="95">
        <f t="shared" si="687"/>
        <v>1.3888888890505768E-2</v>
      </c>
      <c r="BJ1151" s="95">
        <f t="shared" si="687"/>
        <v>0.11805555555474712</v>
      </c>
      <c r="BK1151" s="95">
        <f t="shared" si="688"/>
        <v>0.13194444444525288</v>
      </c>
      <c r="BL1151" s="95">
        <f t="shared" si="689"/>
        <v>0.11805555555636399</v>
      </c>
      <c r="BM1151" s="95" t="str">
        <f t="shared" si="690"/>
        <v>00:00</v>
      </c>
      <c r="BN1151" s="110"/>
    </row>
    <row r="1152" spans="1:66" s="8" customFormat="1" ht="12.75" customHeight="1" x14ac:dyDescent="0.25">
      <c r="A1152" s="150">
        <v>1062</v>
      </c>
      <c r="B1152" s="150">
        <v>81</v>
      </c>
      <c r="C1152" s="90">
        <v>2</v>
      </c>
      <c r="D1152" s="111" t="s">
        <v>148</v>
      </c>
      <c r="E1152" s="210" t="s">
        <v>1113</v>
      </c>
      <c r="F1152" s="150" t="s">
        <v>19</v>
      </c>
      <c r="G1152" s="150" t="s">
        <v>17</v>
      </c>
      <c r="H1152" s="150" t="s">
        <v>150</v>
      </c>
      <c r="I1152" s="150" t="s">
        <v>769</v>
      </c>
      <c r="J1152" s="151">
        <v>45715</v>
      </c>
      <c r="K1152" s="135" t="s">
        <v>122</v>
      </c>
      <c r="L1152" s="135">
        <v>461000779</v>
      </c>
      <c r="M1152" s="151">
        <v>45716</v>
      </c>
      <c r="N1152" s="152">
        <v>45715.701388888891</v>
      </c>
      <c r="O1152" s="152">
        <v>45715.701388888891</v>
      </c>
      <c r="P1152" s="152">
        <v>45715.708333333336</v>
      </c>
      <c r="Q1152" s="152">
        <v>45715.895833333336</v>
      </c>
      <c r="R1152" s="152" t="s">
        <v>118</v>
      </c>
      <c r="S1152" s="152" t="s">
        <v>118</v>
      </c>
      <c r="T1152" s="152">
        <v>45715.951388888891</v>
      </c>
      <c r="U1152" s="152">
        <v>45716.059027777781</v>
      </c>
      <c r="V1152" s="219">
        <f t="shared" si="682"/>
        <v>0.19444444444525288</v>
      </c>
      <c r="W1152" s="203">
        <v>0.20833333333333334</v>
      </c>
      <c r="X1152" s="219" t="str">
        <f t="shared" si="683"/>
        <v>00:00</v>
      </c>
      <c r="Y1152" s="96">
        <v>0</v>
      </c>
      <c r="Z1152" s="96">
        <v>59</v>
      </c>
      <c r="AA1152" s="96">
        <f t="shared" si="664"/>
        <v>59</v>
      </c>
      <c r="AB1152" s="97">
        <f t="shared" si="665"/>
        <v>0</v>
      </c>
      <c r="AC1152" s="97">
        <f t="shared" si="666"/>
        <v>4106.18</v>
      </c>
      <c r="AD1152" s="98">
        <v>4106.18</v>
      </c>
      <c r="AE1152" s="98">
        <v>4114.3999999999996</v>
      </c>
      <c r="AF1152" s="98">
        <v>4127.8</v>
      </c>
      <c r="AG1152" s="98">
        <f t="shared" si="667"/>
        <v>21.619999999999891</v>
      </c>
      <c r="AH1152" s="99">
        <v>672.5</v>
      </c>
      <c r="AI1152" s="100">
        <f t="shared" si="668"/>
        <v>2775945.5</v>
      </c>
      <c r="AJ1152" s="100">
        <f>(2.2*AH1152)*2</f>
        <v>2959.0000000000005</v>
      </c>
      <c r="AK1152" s="100">
        <v>0</v>
      </c>
      <c r="AL1152" s="100">
        <v>0</v>
      </c>
      <c r="AM1152" s="100">
        <v>0</v>
      </c>
      <c r="AN1152" s="100">
        <v>0</v>
      </c>
      <c r="AO1152" s="100">
        <v>0</v>
      </c>
      <c r="AP1152" s="100">
        <f t="shared" si="680"/>
        <v>138946</v>
      </c>
      <c r="AQ1152" s="101">
        <f t="shared" si="681"/>
        <v>2917851</v>
      </c>
      <c r="AR1152" s="101">
        <v>0</v>
      </c>
      <c r="AS1152" s="101">
        <v>0</v>
      </c>
      <c r="AT1152" s="102" t="s">
        <v>33</v>
      </c>
      <c r="AU1152" s="109" t="s">
        <v>118</v>
      </c>
      <c r="AV1152" s="100">
        <v>0</v>
      </c>
      <c r="AW1152" s="105">
        <v>0</v>
      </c>
      <c r="AX1152" s="216">
        <f t="shared" si="684"/>
        <v>0.52376568632200904</v>
      </c>
      <c r="AY1152" s="217">
        <f t="shared" si="685"/>
        <v>14540</v>
      </c>
      <c r="AZ1152" s="107"/>
      <c r="BA1152" s="94">
        <v>45715.701388888891</v>
      </c>
      <c r="BB1152" s="94">
        <v>45715.708333333336</v>
      </c>
      <c r="BC1152" s="94">
        <v>45715.708333333336</v>
      </c>
      <c r="BD1152" s="94">
        <v>45715.818055555559</v>
      </c>
      <c r="BE1152" s="95">
        <f t="shared" si="686"/>
        <v>0.11666666666860692</v>
      </c>
      <c r="BF1152" s="95">
        <v>0</v>
      </c>
      <c r="BG1152" s="95">
        <v>0</v>
      </c>
      <c r="BH1152" s="95">
        <f t="shared" si="687"/>
        <v>6.9444444452528842E-3</v>
      </c>
      <c r="BI1152" s="95">
        <f t="shared" si="687"/>
        <v>0</v>
      </c>
      <c r="BJ1152" s="95">
        <f t="shared" si="687"/>
        <v>0.10972222222335404</v>
      </c>
      <c r="BK1152" s="95">
        <f t="shared" si="688"/>
        <v>0.10972222222335404</v>
      </c>
      <c r="BL1152" s="95">
        <f t="shared" si="689"/>
        <v>0.10972222222335404</v>
      </c>
      <c r="BM1152" s="95" t="str">
        <f t="shared" si="690"/>
        <v>00:00</v>
      </c>
      <c r="BN1152" s="110"/>
    </row>
    <row r="1153" spans="1:66" s="8" customFormat="1" ht="12.75" customHeight="1" x14ac:dyDescent="0.25">
      <c r="A1153" s="150">
        <v>1063</v>
      </c>
      <c r="B1153" s="150">
        <v>82</v>
      </c>
      <c r="C1153" s="90">
        <v>2</v>
      </c>
      <c r="D1153" s="111" t="s">
        <v>113</v>
      </c>
      <c r="E1153" s="210" t="s">
        <v>1111</v>
      </c>
      <c r="F1153" s="150" t="s">
        <v>41</v>
      </c>
      <c r="G1153" s="150" t="s">
        <v>12</v>
      </c>
      <c r="H1153" s="150" t="s">
        <v>115</v>
      </c>
      <c r="I1153" s="150" t="s">
        <v>800</v>
      </c>
      <c r="J1153" s="151">
        <v>45715</v>
      </c>
      <c r="K1153" s="135" t="s">
        <v>117</v>
      </c>
      <c r="L1153" s="135">
        <v>282001136</v>
      </c>
      <c r="M1153" s="151">
        <v>45716</v>
      </c>
      <c r="N1153" s="152">
        <v>45716.125</v>
      </c>
      <c r="O1153" s="152">
        <v>45716.125</v>
      </c>
      <c r="P1153" s="152">
        <v>45716.131944444445</v>
      </c>
      <c r="Q1153" s="152">
        <v>45716.3125</v>
      </c>
      <c r="R1153" s="152" t="s">
        <v>118</v>
      </c>
      <c r="S1153" s="152" t="s">
        <v>118</v>
      </c>
      <c r="T1153" s="152">
        <v>45716.354166666664</v>
      </c>
      <c r="U1153" s="152">
        <v>45716.472222222219</v>
      </c>
      <c r="V1153" s="219">
        <f t="shared" si="682"/>
        <v>0.1875</v>
      </c>
      <c r="W1153" s="203">
        <v>0.20833333333333334</v>
      </c>
      <c r="X1153" s="219" t="str">
        <f t="shared" si="683"/>
        <v>00:00</v>
      </c>
      <c r="Y1153" s="96">
        <v>0</v>
      </c>
      <c r="Z1153" s="96">
        <v>59</v>
      </c>
      <c r="AA1153" s="96">
        <f t="shared" si="664"/>
        <v>59</v>
      </c>
      <c r="AB1153" s="97">
        <f t="shared" si="665"/>
        <v>0</v>
      </c>
      <c r="AC1153" s="97">
        <f t="shared" si="666"/>
        <v>4109.96</v>
      </c>
      <c r="AD1153" s="98">
        <v>4109.96</v>
      </c>
      <c r="AE1153" s="98">
        <v>4109.8</v>
      </c>
      <c r="AF1153" s="98">
        <v>4134.6000000000004</v>
      </c>
      <c r="AG1153" s="98">
        <f t="shared" si="667"/>
        <v>24.640000000000327</v>
      </c>
      <c r="AH1153" s="99">
        <v>1586.7</v>
      </c>
      <c r="AI1153" s="100">
        <f t="shared" si="668"/>
        <v>6560369.8200000012</v>
      </c>
      <c r="AJ1153" s="100">
        <f t="shared" ref="AJ1153:AJ1162" si="691">(0*AH1153)*2</f>
        <v>0</v>
      </c>
      <c r="AK1153" s="100">
        <v>0</v>
      </c>
      <c r="AL1153" s="100">
        <v>24290</v>
      </c>
      <c r="AM1153" s="100">
        <v>0</v>
      </c>
      <c r="AN1153" s="100">
        <v>0</v>
      </c>
      <c r="AO1153" s="100">
        <f>IFERROR(AF1153*20+(((AJ1153/AH1153)/2)*20),0)</f>
        <v>82692</v>
      </c>
      <c r="AP1153" s="100">
        <f t="shared" si="680"/>
        <v>333368</v>
      </c>
      <c r="AQ1153" s="101">
        <f t="shared" si="681"/>
        <v>7000720</v>
      </c>
      <c r="AR1153" s="101">
        <v>0</v>
      </c>
      <c r="AS1153" s="101">
        <v>0</v>
      </c>
      <c r="AT1153" s="102" t="s">
        <v>33</v>
      </c>
      <c r="AU1153" s="109">
        <v>15</v>
      </c>
      <c r="AV1153" s="100">
        <f>32.8-21.8</f>
        <v>10.999999999999996</v>
      </c>
      <c r="AW1153" s="105">
        <v>0</v>
      </c>
      <c r="AX1153" s="216">
        <f t="shared" si="684"/>
        <v>0.59594640352150929</v>
      </c>
      <c r="AY1153" s="217">
        <f t="shared" si="685"/>
        <v>39097</v>
      </c>
      <c r="AZ1153" s="107"/>
      <c r="BA1153" s="94">
        <v>45716.125</v>
      </c>
      <c r="BB1153" s="94">
        <v>45716.131944444445</v>
      </c>
      <c r="BC1153" s="94">
        <v>45716.138888888891</v>
      </c>
      <c r="BD1153" s="94">
        <v>45716.304166666669</v>
      </c>
      <c r="BE1153" s="95">
        <f t="shared" si="686"/>
        <v>0.17916666666860692</v>
      </c>
      <c r="BF1153" s="95">
        <v>1.2500000000000001E-2</v>
      </c>
      <c r="BG1153" s="95">
        <v>6.9444444444444441E-3</v>
      </c>
      <c r="BH1153" s="95">
        <f t="shared" si="687"/>
        <v>6.9444444452528842E-3</v>
      </c>
      <c r="BI1153" s="95">
        <f t="shared" si="687"/>
        <v>6.9444444452528842E-3</v>
      </c>
      <c r="BJ1153" s="95">
        <f t="shared" si="687"/>
        <v>0.16527777777810115</v>
      </c>
      <c r="BK1153" s="95">
        <f t="shared" si="688"/>
        <v>0.17222222222335404</v>
      </c>
      <c r="BL1153" s="95">
        <f t="shared" si="689"/>
        <v>0.15277777777890958</v>
      </c>
      <c r="BM1153" s="95" t="str">
        <f t="shared" si="690"/>
        <v>00:00</v>
      </c>
      <c r="BN1153" s="110"/>
    </row>
    <row r="1154" spans="1:66" s="8" customFormat="1" ht="12.75" customHeight="1" x14ac:dyDescent="0.25">
      <c r="A1154" s="150">
        <v>1064</v>
      </c>
      <c r="B1154" s="150">
        <v>83</v>
      </c>
      <c r="C1154" s="90">
        <v>3</v>
      </c>
      <c r="D1154" s="111" t="s">
        <v>148</v>
      </c>
      <c r="E1154" s="210" t="s">
        <v>1113</v>
      </c>
      <c r="F1154" s="150" t="s">
        <v>19</v>
      </c>
      <c r="G1154" s="150" t="s">
        <v>17</v>
      </c>
      <c r="H1154" s="150" t="s">
        <v>150</v>
      </c>
      <c r="I1154" s="150" t="s">
        <v>774</v>
      </c>
      <c r="J1154" s="151">
        <v>45715</v>
      </c>
      <c r="K1154" s="135" t="s">
        <v>122</v>
      </c>
      <c r="L1154" s="135">
        <v>451000011</v>
      </c>
      <c r="M1154" s="151">
        <v>45716</v>
      </c>
      <c r="N1154" s="152">
        <v>45716.291666666664</v>
      </c>
      <c r="O1154" s="152">
        <v>45716.291666666664</v>
      </c>
      <c r="P1154" s="152">
        <v>45716.295138888891</v>
      </c>
      <c r="Q1154" s="152">
        <v>45716.489583333336</v>
      </c>
      <c r="R1154" s="152" t="s">
        <v>118</v>
      </c>
      <c r="S1154" s="152" t="s">
        <v>118</v>
      </c>
      <c r="T1154" s="152">
        <v>45716.5625</v>
      </c>
      <c r="U1154" s="152">
        <v>45716.673611111109</v>
      </c>
      <c r="V1154" s="219">
        <f t="shared" si="682"/>
        <v>0.19791666667151731</v>
      </c>
      <c r="W1154" s="203">
        <v>0.20833333333333334</v>
      </c>
      <c r="X1154" s="219" t="str">
        <f t="shared" si="683"/>
        <v>00:00</v>
      </c>
      <c r="Y1154" s="96">
        <v>0</v>
      </c>
      <c r="Z1154" s="96">
        <v>57</v>
      </c>
      <c r="AA1154" s="96">
        <f t="shared" si="664"/>
        <v>57</v>
      </c>
      <c r="AB1154" s="97">
        <f t="shared" si="665"/>
        <v>0</v>
      </c>
      <c r="AC1154" s="97">
        <f t="shared" si="666"/>
        <v>3976.5600000000004</v>
      </c>
      <c r="AD1154" s="98">
        <v>3976.56</v>
      </c>
      <c r="AE1154" s="98">
        <v>3968.1</v>
      </c>
      <c r="AF1154" s="98">
        <v>3996</v>
      </c>
      <c r="AG1154" s="98">
        <f t="shared" si="667"/>
        <v>19.440000000000055</v>
      </c>
      <c r="AH1154" s="99">
        <v>672.5</v>
      </c>
      <c r="AI1154" s="100">
        <f t="shared" si="668"/>
        <v>2687310</v>
      </c>
      <c r="AJ1154" s="100">
        <f t="shared" si="691"/>
        <v>0</v>
      </c>
      <c r="AK1154" s="100">
        <v>0</v>
      </c>
      <c r="AL1154" s="100">
        <v>23990</v>
      </c>
      <c r="AM1154" s="100">
        <v>0</v>
      </c>
      <c r="AN1154" s="100">
        <v>0</v>
      </c>
      <c r="AO1154" s="100">
        <v>0</v>
      </c>
      <c r="AP1154" s="100">
        <f t="shared" si="680"/>
        <v>135565</v>
      </c>
      <c r="AQ1154" s="101">
        <f t="shared" si="681"/>
        <v>2846865</v>
      </c>
      <c r="AR1154" s="101">
        <v>0</v>
      </c>
      <c r="AS1154" s="101">
        <v>0</v>
      </c>
      <c r="AT1154" s="102" t="s">
        <v>33</v>
      </c>
      <c r="AU1154" s="109">
        <v>19</v>
      </c>
      <c r="AV1154" s="100">
        <f>36.34-23.34</f>
        <v>13.000000000000004</v>
      </c>
      <c r="AW1154" s="105">
        <v>0</v>
      </c>
      <c r="AX1154" s="216">
        <f t="shared" si="684"/>
        <v>0.48648648648648785</v>
      </c>
      <c r="AY1154" s="217">
        <f t="shared" si="685"/>
        <v>13074</v>
      </c>
      <c r="AZ1154" s="107"/>
      <c r="BA1154" s="94">
        <v>45716.291666666664</v>
      </c>
      <c r="BB1154" s="94">
        <v>45716.295138888891</v>
      </c>
      <c r="BC1154" s="94">
        <v>45716.340277777781</v>
      </c>
      <c r="BD1154" s="94">
        <v>45716.475694444445</v>
      </c>
      <c r="BE1154" s="95">
        <f t="shared" si="686"/>
        <v>0.18402777778101154</v>
      </c>
      <c r="BF1154" s="95">
        <v>2.7777777777777776E-2</v>
      </c>
      <c r="BG1154" s="95">
        <v>1.7361111111111112E-2</v>
      </c>
      <c r="BH1154" s="95">
        <f t="shared" si="687"/>
        <v>3.4722222262644209E-3</v>
      </c>
      <c r="BI1154" s="95">
        <f t="shared" si="687"/>
        <v>4.5138888890505768E-2</v>
      </c>
      <c r="BJ1154" s="95">
        <f t="shared" si="687"/>
        <v>0.13541666666424135</v>
      </c>
      <c r="BK1154" s="95">
        <f t="shared" si="688"/>
        <v>0.18055555555474712</v>
      </c>
      <c r="BL1154" s="95">
        <f t="shared" si="689"/>
        <v>0.13541666666585822</v>
      </c>
      <c r="BM1154" s="95" t="str">
        <f t="shared" si="690"/>
        <v>00:00</v>
      </c>
      <c r="BN1154" s="110"/>
    </row>
    <row r="1155" spans="1:66" s="8" customFormat="1" ht="12.75" customHeight="1" x14ac:dyDescent="0.25">
      <c r="A1155" s="150">
        <v>1065</v>
      </c>
      <c r="B1155" s="150">
        <v>84</v>
      </c>
      <c r="C1155" s="90">
        <v>4</v>
      </c>
      <c r="D1155" s="111" t="s">
        <v>148</v>
      </c>
      <c r="E1155" s="210" t="s">
        <v>1113</v>
      </c>
      <c r="F1155" s="150" t="s">
        <v>19</v>
      </c>
      <c r="G1155" s="150" t="s">
        <v>17</v>
      </c>
      <c r="H1155" s="150" t="s">
        <v>150</v>
      </c>
      <c r="I1155" s="150" t="s">
        <v>775</v>
      </c>
      <c r="J1155" s="151">
        <v>45715</v>
      </c>
      <c r="K1155" s="135" t="s">
        <v>117</v>
      </c>
      <c r="L1155" s="135">
        <v>461000780</v>
      </c>
      <c r="M1155" s="151">
        <v>45716</v>
      </c>
      <c r="N1155" s="152">
        <v>45716.541666666664</v>
      </c>
      <c r="O1155" s="152">
        <v>45716.541666666664</v>
      </c>
      <c r="P1155" s="152">
        <v>45716.559027777781</v>
      </c>
      <c r="Q1155" s="152">
        <v>45716.71875</v>
      </c>
      <c r="R1155" s="152" t="s">
        <v>118</v>
      </c>
      <c r="S1155" s="152" t="s">
        <v>118</v>
      </c>
      <c r="T1155" s="152">
        <v>45716.729166666664</v>
      </c>
      <c r="U1155" s="152">
        <v>45716.836805555555</v>
      </c>
      <c r="V1155" s="219">
        <f t="shared" si="682"/>
        <v>0.17708333333575865</v>
      </c>
      <c r="W1155" s="203">
        <v>0.20833333333333334</v>
      </c>
      <c r="X1155" s="219" t="str">
        <f t="shared" si="683"/>
        <v>00:00</v>
      </c>
      <c r="Y1155" s="96">
        <v>9</v>
      </c>
      <c r="Z1155" s="96">
        <v>49</v>
      </c>
      <c r="AA1155" s="96">
        <f t="shared" si="664"/>
        <v>58</v>
      </c>
      <c r="AB1155" s="97">
        <f t="shared" si="665"/>
        <v>627.60568965517245</v>
      </c>
      <c r="AC1155" s="97">
        <f t="shared" si="666"/>
        <v>3416.9643103448279</v>
      </c>
      <c r="AD1155" s="98">
        <v>4044.57</v>
      </c>
      <c r="AE1155" s="98">
        <v>4043.8</v>
      </c>
      <c r="AF1155" s="98">
        <v>4068.4</v>
      </c>
      <c r="AG1155" s="98">
        <f t="shared" si="667"/>
        <v>23.829999999999927</v>
      </c>
      <c r="AH1155" s="99">
        <v>672.5</v>
      </c>
      <c r="AI1155" s="100">
        <f t="shared" si="668"/>
        <v>2735999</v>
      </c>
      <c r="AJ1155" s="100">
        <f t="shared" si="691"/>
        <v>0</v>
      </c>
      <c r="AK1155" s="100">
        <v>0</v>
      </c>
      <c r="AL1155" s="100">
        <v>24140</v>
      </c>
      <c r="AM1155" s="100">
        <v>0</v>
      </c>
      <c r="AN1155" s="100">
        <v>0</v>
      </c>
      <c r="AO1155" s="100">
        <v>0</v>
      </c>
      <c r="AP1155" s="100">
        <f t="shared" si="680"/>
        <v>138007</v>
      </c>
      <c r="AQ1155" s="101">
        <f t="shared" si="681"/>
        <v>2898146</v>
      </c>
      <c r="AR1155" s="101">
        <v>0</v>
      </c>
      <c r="AS1155" s="101">
        <v>0</v>
      </c>
      <c r="AT1155" s="102" t="s">
        <v>33</v>
      </c>
      <c r="AU1155" s="109">
        <v>13</v>
      </c>
      <c r="AV1155" s="100">
        <f>28.84-21.34</f>
        <v>7.5</v>
      </c>
      <c r="AW1155" s="105">
        <v>0</v>
      </c>
      <c r="AX1155" s="216">
        <f t="shared" si="684"/>
        <v>0.58573394946416102</v>
      </c>
      <c r="AY1155" s="217">
        <f t="shared" si="685"/>
        <v>16026</v>
      </c>
      <c r="AZ1155" s="107"/>
      <c r="BA1155" s="94">
        <v>45716.541666666664</v>
      </c>
      <c r="BB1155" s="94">
        <v>45716.559027777781</v>
      </c>
      <c r="BC1155" s="94">
        <v>45716.559027777781</v>
      </c>
      <c r="BD1155" s="94">
        <v>45716.670138888891</v>
      </c>
      <c r="BE1155" s="95">
        <f t="shared" si="686"/>
        <v>0.12847222222626442</v>
      </c>
      <c r="BF1155" s="95">
        <v>0</v>
      </c>
      <c r="BG1155" s="95">
        <v>9.0277777777777769E-3</v>
      </c>
      <c r="BH1155" s="95">
        <f t="shared" si="687"/>
        <v>1.7361111116770189E-2</v>
      </c>
      <c r="BI1155" s="95">
        <f t="shared" si="687"/>
        <v>0</v>
      </c>
      <c r="BJ1155" s="95">
        <f t="shared" si="687"/>
        <v>0.11111111110949423</v>
      </c>
      <c r="BK1155" s="95">
        <f t="shared" si="688"/>
        <v>0.11111111110949423</v>
      </c>
      <c r="BL1155" s="95">
        <f t="shared" si="689"/>
        <v>0.10208333333171646</v>
      </c>
      <c r="BM1155" s="95" t="str">
        <f t="shared" si="690"/>
        <v>00:00</v>
      </c>
      <c r="BN1155" s="110"/>
    </row>
    <row r="1156" spans="1:66" s="8" customFormat="1" ht="12.75" customHeight="1" x14ac:dyDescent="0.25">
      <c r="A1156" s="150">
        <v>1066</v>
      </c>
      <c r="B1156" s="150">
        <v>85</v>
      </c>
      <c r="C1156" s="90">
        <v>5</v>
      </c>
      <c r="D1156" s="111" t="s">
        <v>148</v>
      </c>
      <c r="E1156" s="210" t="s">
        <v>1113</v>
      </c>
      <c r="F1156" s="150" t="s">
        <v>19</v>
      </c>
      <c r="G1156" s="150" t="s">
        <v>17</v>
      </c>
      <c r="H1156" s="150" t="s">
        <v>150</v>
      </c>
      <c r="I1156" s="150" t="s">
        <v>776</v>
      </c>
      <c r="J1156" s="151">
        <v>45716</v>
      </c>
      <c r="K1156" s="135" t="s">
        <v>122</v>
      </c>
      <c r="L1156" s="135">
        <v>461000781</v>
      </c>
      <c r="M1156" s="151">
        <v>45716</v>
      </c>
      <c r="N1156" s="152">
        <v>45716.708333333336</v>
      </c>
      <c r="O1156" s="152">
        <v>45716.708333333336</v>
      </c>
      <c r="P1156" s="152">
        <v>45716.71875</v>
      </c>
      <c r="Q1156" s="152">
        <v>45716.875</v>
      </c>
      <c r="R1156" s="152" t="s">
        <v>118</v>
      </c>
      <c r="S1156" s="152" t="s">
        <v>118</v>
      </c>
      <c r="T1156" s="152">
        <v>45716.927083333336</v>
      </c>
      <c r="U1156" s="152">
        <v>45716.999305555553</v>
      </c>
      <c r="V1156" s="219">
        <f t="shared" si="682"/>
        <v>0.16666666666424135</v>
      </c>
      <c r="W1156" s="203">
        <v>0.20833333333333334</v>
      </c>
      <c r="X1156" s="219" t="str">
        <f t="shared" si="683"/>
        <v>00:00</v>
      </c>
      <c r="Y1156" s="96">
        <v>0</v>
      </c>
      <c r="Z1156" s="96">
        <v>59</v>
      </c>
      <c r="AA1156" s="96">
        <f t="shared" si="664"/>
        <v>59</v>
      </c>
      <c r="AB1156" s="97">
        <f t="shared" si="665"/>
        <v>0</v>
      </c>
      <c r="AC1156" s="97">
        <f t="shared" si="666"/>
        <v>4093.86</v>
      </c>
      <c r="AD1156" s="98">
        <v>4093.86</v>
      </c>
      <c r="AE1156" s="98">
        <v>4107</v>
      </c>
      <c r="AF1156" s="98">
        <v>4107</v>
      </c>
      <c r="AG1156" s="98">
        <f t="shared" si="667"/>
        <v>13.139999999999873</v>
      </c>
      <c r="AH1156" s="99">
        <v>672.5</v>
      </c>
      <c r="AI1156" s="100">
        <f t="shared" si="668"/>
        <v>2761957.5</v>
      </c>
      <c r="AJ1156" s="100">
        <f t="shared" si="691"/>
        <v>0</v>
      </c>
      <c r="AK1156" s="100">
        <v>0</v>
      </c>
      <c r="AL1156" s="100">
        <v>0</v>
      </c>
      <c r="AM1156" s="100">
        <v>0</v>
      </c>
      <c r="AN1156" s="100">
        <v>0</v>
      </c>
      <c r="AO1156" s="100">
        <v>0</v>
      </c>
      <c r="AP1156" s="100">
        <f t="shared" si="680"/>
        <v>138098</v>
      </c>
      <c r="AQ1156" s="101">
        <f t="shared" si="681"/>
        <v>2900056</v>
      </c>
      <c r="AR1156" s="101">
        <v>0</v>
      </c>
      <c r="AS1156" s="101">
        <v>0</v>
      </c>
      <c r="AT1156" s="102" t="s">
        <v>33</v>
      </c>
      <c r="AU1156" s="109" t="s">
        <v>118</v>
      </c>
      <c r="AV1156" s="100">
        <v>0</v>
      </c>
      <c r="AW1156" s="105">
        <v>0</v>
      </c>
      <c r="AX1156" s="216">
        <f t="shared" si="684"/>
        <v>0.31994156318480332</v>
      </c>
      <c r="AY1156" s="217">
        <f t="shared" si="685"/>
        <v>8837</v>
      </c>
      <c r="AZ1156" s="107"/>
      <c r="BA1156" s="94">
        <v>45716.708333333336</v>
      </c>
      <c r="BB1156" s="94">
        <v>45716.71875</v>
      </c>
      <c r="BC1156" s="94">
        <v>45716.71875</v>
      </c>
      <c r="BD1156" s="94">
        <v>45716.826388888891</v>
      </c>
      <c r="BE1156" s="95">
        <f t="shared" si="686"/>
        <v>0.11805555555474712</v>
      </c>
      <c r="BF1156" s="95">
        <v>0</v>
      </c>
      <c r="BG1156" s="95">
        <v>0</v>
      </c>
      <c r="BH1156" s="95">
        <f t="shared" si="687"/>
        <v>1.0416666664241347E-2</v>
      </c>
      <c r="BI1156" s="95">
        <f t="shared" si="687"/>
        <v>0</v>
      </c>
      <c r="BJ1156" s="95">
        <f t="shared" si="687"/>
        <v>0.10763888889050577</v>
      </c>
      <c r="BK1156" s="95">
        <f t="shared" si="688"/>
        <v>0.10763888889050577</v>
      </c>
      <c r="BL1156" s="95">
        <f t="shared" si="689"/>
        <v>0.10763888889050577</v>
      </c>
      <c r="BM1156" s="95" t="str">
        <f t="shared" si="690"/>
        <v>00:00</v>
      </c>
      <c r="BN1156" s="110" t="s">
        <v>1114</v>
      </c>
    </row>
    <row r="1157" spans="1:66" s="8" customFormat="1" ht="12.75" customHeight="1" x14ac:dyDescent="0.25">
      <c r="A1157" s="150">
        <v>1067</v>
      </c>
      <c r="B1157" s="150">
        <v>1</v>
      </c>
      <c r="C1157" s="90">
        <v>3</v>
      </c>
      <c r="D1157" s="111" t="s">
        <v>113</v>
      </c>
      <c r="E1157" s="210" t="s">
        <v>1111</v>
      </c>
      <c r="F1157" s="150" t="s">
        <v>41</v>
      </c>
      <c r="G1157" s="150" t="s">
        <v>12</v>
      </c>
      <c r="H1157" s="150" t="s">
        <v>115</v>
      </c>
      <c r="I1157" s="150" t="s">
        <v>1115</v>
      </c>
      <c r="J1157" s="151">
        <v>45716</v>
      </c>
      <c r="K1157" s="135" t="s">
        <v>117</v>
      </c>
      <c r="L1157" s="135">
        <v>282001137</v>
      </c>
      <c r="M1157" s="151">
        <v>45717</v>
      </c>
      <c r="N1157" s="152">
        <v>45717.083333333336</v>
      </c>
      <c r="O1157" s="152">
        <v>45717.083333333336</v>
      </c>
      <c r="P1157" s="152">
        <v>45717.086805555555</v>
      </c>
      <c r="Q1157" s="152">
        <v>45717.260416666664</v>
      </c>
      <c r="R1157" s="152" t="s">
        <v>118</v>
      </c>
      <c r="S1157" s="152" t="s">
        <v>118</v>
      </c>
      <c r="T1157" s="152">
        <v>45717.333333333336</v>
      </c>
      <c r="U1157" s="152">
        <v>45717.447916666664</v>
      </c>
      <c r="V1157" s="219">
        <f t="shared" si="682"/>
        <v>0.17708333332848269</v>
      </c>
      <c r="W1157" s="203">
        <v>0.20833333333333334</v>
      </c>
      <c r="X1157" s="219" t="str">
        <f t="shared" si="683"/>
        <v>00:00</v>
      </c>
      <c r="Y1157" s="96">
        <v>0</v>
      </c>
      <c r="Z1157" s="96">
        <v>59</v>
      </c>
      <c r="AA1157" s="96">
        <f t="shared" si="664"/>
        <v>59</v>
      </c>
      <c r="AB1157" s="97">
        <f t="shared" si="665"/>
        <v>0</v>
      </c>
      <c r="AC1157" s="97">
        <f t="shared" si="666"/>
        <v>4091.43</v>
      </c>
      <c r="AD1157" s="98">
        <v>4091.43</v>
      </c>
      <c r="AE1157" s="98">
        <v>4107.3999999999996</v>
      </c>
      <c r="AF1157" s="98">
        <v>4125.6000000000004</v>
      </c>
      <c r="AG1157" s="98">
        <f t="shared" si="667"/>
        <v>34.170000000000528</v>
      </c>
      <c r="AH1157" s="99">
        <v>1586.7</v>
      </c>
      <c r="AI1157" s="100">
        <f t="shared" si="668"/>
        <v>6546089.5200000005</v>
      </c>
      <c r="AJ1157" s="100">
        <f t="shared" si="691"/>
        <v>0</v>
      </c>
      <c r="AK1157" s="100">
        <v>0</v>
      </c>
      <c r="AL1157" s="100">
        <v>24290</v>
      </c>
      <c r="AM1157" s="100">
        <v>0</v>
      </c>
      <c r="AN1157" s="100">
        <v>0</v>
      </c>
      <c r="AO1157" s="100">
        <f>IFERROR(AF1157*20+(((AJ1157/AH1157)/2)*20),0)</f>
        <v>82512</v>
      </c>
      <c r="AP1157" s="100">
        <f t="shared" si="680"/>
        <v>332645</v>
      </c>
      <c r="AQ1157" s="101">
        <f t="shared" si="681"/>
        <v>6985537</v>
      </c>
      <c r="AR1157" s="101">
        <v>0</v>
      </c>
      <c r="AS1157" s="101">
        <v>0</v>
      </c>
      <c r="AT1157" s="102" t="s">
        <v>33</v>
      </c>
      <c r="AU1157" s="109">
        <v>8</v>
      </c>
      <c r="AV1157" s="100">
        <f>20.54-16.04</f>
        <v>4.5</v>
      </c>
      <c r="AW1157" s="105">
        <v>0</v>
      </c>
      <c r="AX1157" s="216">
        <f t="shared" si="684"/>
        <v>0.82824316463061198</v>
      </c>
      <c r="AY1157" s="217">
        <f t="shared" si="685"/>
        <v>54218</v>
      </c>
      <c r="AZ1157" s="107"/>
      <c r="BA1157" s="94">
        <v>45717.083333333336</v>
      </c>
      <c r="BB1157" s="94">
        <v>45717.086805555555</v>
      </c>
      <c r="BC1157" s="94">
        <v>45717.090277777781</v>
      </c>
      <c r="BD1157" s="94">
        <v>45717.21875</v>
      </c>
      <c r="BE1157" s="95">
        <f t="shared" si="686"/>
        <v>0.13541666666424135</v>
      </c>
      <c r="BF1157" s="95">
        <v>0</v>
      </c>
      <c r="BG1157" s="95">
        <v>3.472222222222222E-3</v>
      </c>
      <c r="BH1157" s="95">
        <f t="shared" si="687"/>
        <v>3.4722222189884633E-3</v>
      </c>
      <c r="BI1157" s="95">
        <f t="shared" si="687"/>
        <v>3.4722222262644209E-3</v>
      </c>
      <c r="BJ1157" s="95">
        <f t="shared" si="687"/>
        <v>0.12847222221898846</v>
      </c>
      <c r="BK1157" s="95">
        <f t="shared" si="688"/>
        <v>0.13194444444525288</v>
      </c>
      <c r="BL1157" s="95">
        <f t="shared" si="689"/>
        <v>0.12847222222303067</v>
      </c>
      <c r="BM1157" s="95" t="str">
        <f t="shared" si="690"/>
        <v>00:00</v>
      </c>
      <c r="BN1157" s="110"/>
    </row>
    <row r="1158" spans="1:66" s="8" customFormat="1" ht="12.75" customHeight="1" x14ac:dyDescent="0.25">
      <c r="A1158" s="150">
        <v>1068</v>
      </c>
      <c r="B1158" s="150">
        <v>2</v>
      </c>
      <c r="C1158" s="90">
        <v>6</v>
      </c>
      <c r="D1158" s="111" t="s">
        <v>148</v>
      </c>
      <c r="E1158" s="210" t="s">
        <v>1113</v>
      </c>
      <c r="F1158" s="150" t="s">
        <v>19</v>
      </c>
      <c r="G1158" s="150" t="s">
        <v>17</v>
      </c>
      <c r="H1158" s="150" t="s">
        <v>150</v>
      </c>
      <c r="I1158" s="150" t="s">
        <v>781</v>
      </c>
      <c r="J1158" s="151">
        <v>45716</v>
      </c>
      <c r="K1158" s="135" t="s">
        <v>122</v>
      </c>
      <c r="L1158" s="135">
        <v>461000782</v>
      </c>
      <c r="M1158" s="151">
        <v>45717</v>
      </c>
      <c r="N1158" s="152">
        <v>45717.208333333336</v>
      </c>
      <c r="O1158" s="152">
        <v>45717.208333333336</v>
      </c>
      <c r="P1158" s="152">
        <v>45717.211805555555</v>
      </c>
      <c r="Q1158" s="152">
        <v>45717.375</v>
      </c>
      <c r="R1158" s="152" t="s">
        <v>118</v>
      </c>
      <c r="S1158" s="152" t="s">
        <v>118</v>
      </c>
      <c r="T1158" s="152">
        <v>45717.5625</v>
      </c>
      <c r="U1158" s="152">
        <v>45717.659722222219</v>
      </c>
      <c r="V1158" s="219">
        <f t="shared" si="682"/>
        <v>0.16666666666424135</v>
      </c>
      <c r="W1158" s="203">
        <v>0.20833333333333334</v>
      </c>
      <c r="X1158" s="219" t="str">
        <f t="shared" si="683"/>
        <v>00:00</v>
      </c>
      <c r="Y1158" s="96">
        <v>0</v>
      </c>
      <c r="Z1158" s="96">
        <v>59</v>
      </c>
      <c r="AA1158" s="96">
        <f t="shared" si="664"/>
        <v>59</v>
      </c>
      <c r="AB1158" s="97">
        <f t="shared" si="665"/>
        <v>0</v>
      </c>
      <c r="AC1158" s="97">
        <f t="shared" si="666"/>
        <v>4114.79</v>
      </c>
      <c r="AD1158" s="98">
        <v>4114.79</v>
      </c>
      <c r="AE1158" s="98">
        <v>4107.1000000000004</v>
      </c>
      <c r="AF1158" s="98">
        <v>4130.6000000000004</v>
      </c>
      <c r="AG1158" s="98">
        <f t="shared" si="667"/>
        <v>15.8100000000004</v>
      </c>
      <c r="AH1158" s="99">
        <v>672.5</v>
      </c>
      <c r="AI1158" s="100">
        <f t="shared" si="668"/>
        <v>2777828.5000000005</v>
      </c>
      <c r="AJ1158" s="100">
        <f t="shared" si="691"/>
        <v>0</v>
      </c>
      <c r="AK1158" s="100">
        <v>0</v>
      </c>
      <c r="AL1158" s="100">
        <v>24290</v>
      </c>
      <c r="AM1158" s="100">
        <v>0</v>
      </c>
      <c r="AN1158" s="100">
        <v>0</v>
      </c>
      <c r="AO1158" s="100">
        <v>0</v>
      </c>
      <c r="AP1158" s="100">
        <f t="shared" si="680"/>
        <v>140106</v>
      </c>
      <c r="AQ1158" s="101">
        <f t="shared" si="681"/>
        <v>2942225</v>
      </c>
      <c r="AR1158" s="101">
        <v>0</v>
      </c>
      <c r="AS1158" s="101">
        <v>0</v>
      </c>
      <c r="AT1158" s="102" t="s">
        <v>33</v>
      </c>
      <c r="AU1158" s="109">
        <v>14</v>
      </c>
      <c r="AV1158" s="100">
        <f>30.85-20.35</f>
        <v>10.5</v>
      </c>
      <c r="AW1158" s="105">
        <v>0</v>
      </c>
      <c r="AX1158" s="216">
        <f t="shared" si="684"/>
        <v>0.38275311092820413</v>
      </c>
      <c r="AY1158" s="217">
        <f t="shared" si="685"/>
        <v>10633</v>
      </c>
      <c r="AZ1158" s="107"/>
      <c r="BA1158" s="94">
        <v>45717.208333333336</v>
      </c>
      <c r="BB1158" s="94">
        <v>45717.211805555555</v>
      </c>
      <c r="BC1158" s="94">
        <v>45717.211805555555</v>
      </c>
      <c r="BD1158" s="94">
        <v>45717.354166666664</v>
      </c>
      <c r="BE1158" s="95">
        <f t="shared" si="686"/>
        <v>0.14583333332848269</v>
      </c>
      <c r="BF1158" s="95">
        <v>1.0416666666666666E-2</v>
      </c>
      <c r="BG1158" s="95">
        <v>1.3888888888888888E-2</v>
      </c>
      <c r="BH1158" s="95">
        <f t="shared" si="687"/>
        <v>3.4722222189884633E-3</v>
      </c>
      <c r="BI1158" s="95">
        <f t="shared" si="687"/>
        <v>0</v>
      </c>
      <c r="BJ1158" s="95">
        <f t="shared" si="687"/>
        <v>0.14236111110949423</v>
      </c>
      <c r="BK1158" s="95">
        <f t="shared" si="688"/>
        <v>0.14236111110949423</v>
      </c>
      <c r="BL1158" s="95">
        <f t="shared" si="689"/>
        <v>0.11805555555393868</v>
      </c>
      <c r="BM1158" s="95" t="str">
        <f t="shared" si="690"/>
        <v>00:00</v>
      </c>
      <c r="BN1158" s="110"/>
    </row>
    <row r="1159" spans="1:66" s="8" customFormat="1" ht="12.75" customHeight="1" x14ac:dyDescent="0.25">
      <c r="A1159" s="115">
        <v>1069</v>
      </c>
      <c r="B1159" s="115">
        <v>3</v>
      </c>
      <c r="C1159" s="90">
        <v>5</v>
      </c>
      <c r="D1159" s="115" t="s">
        <v>113</v>
      </c>
      <c r="E1159" s="210" t="s">
        <v>1082</v>
      </c>
      <c r="F1159" s="115" t="s">
        <v>27</v>
      </c>
      <c r="G1159" s="115" t="s">
        <v>12</v>
      </c>
      <c r="H1159" s="115" t="s">
        <v>115</v>
      </c>
      <c r="I1159" s="115" t="s">
        <v>808</v>
      </c>
      <c r="J1159" s="117">
        <v>45717</v>
      </c>
      <c r="K1159" s="116" t="s">
        <v>117</v>
      </c>
      <c r="L1159" s="116">
        <v>282001138</v>
      </c>
      <c r="M1159" s="117">
        <v>45718</v>
      </c>
      <c r="N1159" s="118">
        <v>45717.479166666664</v>
      </c>
      <c r="O1159" s="118">
        <v>45717.479166666664</v>
      </c>
      <c r="P1159" s="118">
        <v>45717.541666666664</v>
      </c>
      <c r="Q1159" s="118">
        <v>45717.6875</v>
      </c>
      <c r="R1159" s="118" t="s">
        <v>118</v>
      </c>
      <c r="S1159" s="118" t="s">
        <v>118</v>
      </c>
      <c r="T1159" s="118">
        <v>45717.729166666664</v>
      </c>
      <c r="U1159" s="118">
        <v>45717.861111111109</v>
      </c>
      <c r="V1159" s="119">
        <f t="shared" si="682"/>
        <v>0.20833333333575865</v>
      </c>
      <c r="W1159" s="185">
        <v>0.20833333333333334</v>
      </c>
      <c r="X1159" s="119">
        <f t="shared" si="683"/>
        <v>2.4253099528692701E-12</v>
      </c>
      <c r="Y1159" s="96">
        <v>2</v>
      </c>
      <c r="Z1159" s="96">
        <v>22</v>
      </c>
      <c r="AA1159" s="96">
        <f t="shared" si="664"/>
        <v>24</v>
      </c>
      <c r="AB1159" s="97">
        <f t="shared" si="665"/>
        <v>137.52583333333334</v>
      </c>
      <c r="AC1159" s="97">
        <f t="shared" si="666"/>
        <v>1512.7841666666668</v>
      </c>
      <c r="AD1159" s="98">
        <f>1650.31</f>
        <v>1650.31</v>
      </c>
      <c r="AE1159" s="98">
        <v>1672.8</v>
      </c>
      <c r="AF1159" s="98">
        <v>1678</v>
      </c>
      <c r="AG1159" s="98">
        <f t="shared" si="667"/>
        <v>27.690000000000055</v>
      </c>
      <c r="AH1159" s="99">
        <v>1586.7</v>
      </c>
      <c r="AI1159" s="100">
        <f t="shared" si="668"/>
        <v>2662482.6</v>
      </c>
      <c r="AJ1159" s="100">
        <f t="shared" si="691"/>
        <v>0</v>
      </c>
      <c r="AK1159" s="100">
        <v>0</v>
      </c>
      <c r="AL1159" s="100">
        <v>24290</v>
      </c>
      <c r="AM1159" s="100">
        <v>0</v>
      </c>
      <c r="AN1159" s="100">
        <v>0</v>
      </c>
      <c r="AO1159" s="100">
        <f>IFERROR(AF1159*20+(((AJ1159/AH1159)/2)*20),0)</f>
        <v>33560</v>
      </c>
      <c r="AP1159" s="100">
        <f>ROUNDUP(SUM(AI1159:AO1159)*5%,0)-1</f>
        <v>136016</v>
      </c>
      <c r="AQ1159" s="101">
        <f>ROUNDUP(SUM(AI1159:AP1159),0)-1</f>
        <v>2856348</v>
      </c>
      <c r="AR1159" s="101">
        <v>0</v>
      </c>
      <c r="AS1159" s="101">
        <v>0</v>
      </c>
      <c r="AT1159" s="137" t="s">
        <v>33</v>
      </c>
      <c r="AU1159" s="120">
        <v>2</v>
      </c>
      <c r="AV1159" s="121">
        <f>8-6.5</f>
        <v>1.5</v>
      </c>
      <c r="AW1159" s="105">
        <v>0</v>
      </c>
      <c r="AX1159" s="140">
        <f>IFERROR(((AG1159+AG1160+AG1161)/(AF1159+AF1160+AF1161))*100, "")</f>
        <v>1.9921608725289686</v>
      </c>
      <c r="AY1159" s="141">
        <f>ROUNDUP((AG1159+AG1160+AG1161)*AH1159,0)</f>
        <v>129840</v>
      </c>
      <c r="AZ1159" s="107"/>
      <c r="BA1159" s="118">
        <v>45717.479166666664</v>
      </c>
      <c r="BB1159" s="118">
        <v>45717.5</v>
      </c>
      <c r="BC1159" s="118">
        <v>45717.5</v>
      </c>
      <c r="BD1159" s="118">
        <v>45717.706250000003</v>
      </c>
      <c r="BE1159" s="119">
        <f t="shared" si="686"/>
        <v>0.22708333333866904</v>
      </c>
      <c r="BF1159" s="119">
        <v>0</v>
      </c>
      <c r="BG1159" s="119">
        <v>6.7361111111111108E-2</v>
      </c>
      <c r="BH1159" s="119">
        <f t="shared" si="687"/>
        <v>2.0833333335758653E-2</v>
      </c>
      <c r="BI1159" s="119">
        <f t="shared" si="687"/>
        <v>0</v>
      </c>
      <c r="BJ1159" s="119">
        <f t="shared" si="687"/>
        <v>0.20625000000291038</v>
      </c>
      <c r="BK1159" s="119">
        <f t="shared" si="688"/>
        <v>0.20625000000291038</v>
      </c>
      <c r="BL1159" s="119">
        <f t="shared" si="689"/>
        <v>0.13888888889179929</v>
      </c>
      <c r="BM1159" s="119">
        <f t="shared" si="690"/>
        <v>1.8750000005335693E-2</v>
      </c>
      <c r="BN1159" s="110" t="s">
        <v>1116</v>
      </c>
    </row>
    <row r="1160" spans="1:66" s="8" customFormat="1" ht="12.75" customHeight="1" x14ac:dyDescent="0.25">
      <c r="A1160" s="179"/>
      <c r="B1160" s="179"/>
      <c r="C1160" s="90">
        <v>3</v>
      </c>
      <c r="D1160" s="179"/>
      <c r="E1160" s="210" t="s">
        <v>1079</v>
      </c>
      <c r="F1160" s="179"/>
      <c r="G1160" s="179"/>
      <c r="H1160" s="179"/>
      <c r="I1160" s="179"/>
      <c r="J1160" s="248"/>
      <c r="K1160" s="249"/>
      <c r="L1160" s="249"/>
      <c r="M1160" s="248"/>
      <c r="N1160" s="242"/>
      <c r="O1160" s="242"/>
      <c r="P1160" s="242"/>
      <c r="Q1160" s="242"/>
      <c r="R1160" s="242"/>
      <c r="S1160" s="242"/>
      <c r="T1160" s="242"/>
      <c r="U1160" s="242"/>
      <c r="V1160" s="243"/>
      <c r="W1160" s="250"/>
      <c r="X1160" s="243"/>
      <c r="Y1160" s="96">
        <v>2</v>
      </c>
      <c r="Z1160" s="96">
        <v>18</v>
      </c>
      <c r="AA1160" s="96">
        <f t="shared" si="664"/>
        <v>20</v>
      </c>
      <c r="AB1160" s="97">
        <f t="shared" si="665"/>
        <v>135.10499999999999</v>
      </c>
      <c r="AC1160" s="97">
        <f t="shared" si="666"/>
        <v>1215.9449999999999</v>
      </c>
      <c r="AD1160" s="98">
        <v>1351.05</v>
      </c>
      <c r="AE1160" s="98">
        <v>1384.2</v>
      </c>
      <c r="AF1160" s="98">
        <v>1385.6</v>
      </c>
      <c r="AG1160" s="98">
        <f t="shared" si="667"/>
        <v>34.549999999999955</v>
      </c>
      <c r="AH1160" s="99">
        <v>1586.7</v>
      </c>
      <c r="AI1160" s="100">
        <f t="shared" si="668"/>
        <v>2198531.52</v>
      </c>
      <c r="AJ1160" s="100">
        <f t="shared" si="691"/>
        <v>0</v>
      </c>
      <c r="AK1160" s="100">
        <v>0</v>
      </c>
      <c r="AL1160" s="100">
        <v>0</v>
      </c>
      <c r="AM1160" s="100">
        <v>0</v>
      </c>
      <c r="AN1160" s="100">
        <v>0</v>
      </c>
      <c r="AO1160" s="100">
        <f>IFERROR(AF1160*20+(((AJ1160/AH1160)/2)*20),0)</f>
        <v>27712</v>
      </c>
      <c r="AP1160" s="100">
        <f t="shared" ref="AP1160:AP1193" si="692">ROUNDUP(SUM(AI1160:AO1160)*5%,0)</f>
        <v>111313</v>
      </c>
      <c r="AQ1160" s="101">
        <f t="shared" ref="AQ1160:AQ1168" si="693">ROUNDUP(SUM(AI1160:AP1160),0)</f>
        <v>2337557</v>
      </c>
      <c r="AR1160" s="101">
        <v>0</v>
      </c>
      <c r="AS1160" s="101">
        <v>0</v>
      </c>
      <c r="AT1160" s="268"/>
      <c r="AU1160" s="252"/>
      <c r="AV1160" s="269"/>
      <c r="AW1160" s="105">
        <v>0</v>
      </c>
      <c r="AX1160" s="254"/>
      <c r="AY1160" s="255"/>
      <c r="AZ1160" s="107"/>
      <c r="BA1160" s="242"/>
      <c r="BB1160" s="242"/>
      <c r="BC1160" s="242"/>
      <c r="BD1160" s="242"/>
      <c r="BE1160" s="243"/>
      <c r="BF1160" s="243"/>
      <c r="BG1160" s="243"/>
      <c r="BH1160" s="243"/>
      <c r="BI1160" s="243"/>
      <c r="BJ1160" s="243"/>
      <c r="BK1160" s="243"/>
      <c r="BL1160" s="243"/>
      <c r="BM1160" s="243"/>
      <c r="BN1160" s="110" t="s">
        <v>1117</v>
      </c>
    </row>
    <row r="1161" spans="1:66" s="8" customFormat="1" ht="12.75" customHeight="1" x14ac:dyDescent="0.25">
      <c r="A1161" s="122"/>
      <c r="B1161" s="122"/>
      <c r="C1161" s="90">
        <v>12</v>
      </c>
      <c r="D1161" s="122"/>
      <c r="E1161" s="210" t="s">
        <v>1066</v>
      </c>
      <c r="F1161" s="122"/>
      <c r="G1161" s="122"/>
      <c r="H1161" s="122"/>
      <c r="I1161" s="122"/>
      <c r="J1161" s="124"/>
      <c r="K1161" s="123"/>
      <c r="L1161" s="123"/>
      <c r="M1161" s="124"/>
      <c r="N1161" s="125"/>
      <c r="O1161" s="125"/>
      <c r="P1161" s="125"/>
      <c r="Q1161" s="125"/>
      <c r="R1161" s="125"/>
      <c r="S1161" s="125"/>
      <c r="T1161" s="125"/>
      <c r="U1161" s="125"/>
      <c r="V1161" s="126"/>
      <c r="W1161" s="189"/>
      <c r="X1161" s="126"/>
      <c r="Y1161" s="96">
        <v>2</v>
      </c>
      <c r="Z1161" s="96">
        <v>13</v>
      </c>
      <c r="AA1161" s="96">
        <f t="shared" si="664"/>
        <v>15</v>
      </c>
      <c r="AB1161" s="97">
        <f t="shared" si="665"/>
        <v>136.58800000000002</v>
      </c>
      <c r="AC1161" s="97">
        <f t="shared" si="666"/>
        <v>887.82200000000012</v>
      </c>
      <c r="AD1161" s="98">
        <v>1024.4100000000001</v>
      </c>
      <c r="AE1161" s="98">
        <v>1043.4000000000001</v>
      </c>
      <c r="AF1161" s="98">
        <v>1044</v>
      </c>
      <c r="AG1161" s="98">
        <f t="shared" si="667"/>
        <v>19.589999999999918</v>
      </c>
      <c r="AH1161" s="99">
        <v>1586.7</v>
      </c>
      <c r="AI1161" s="100">
        <f t="shared" si="668"/>
        <v>1656514.8</v>
      </c>
      <c r="AJ1161" s="100">
        <f t="shared" si="691"/>
        <v>0</v>
      </c>
      <c r="AK1161" s="100">
        <v>0</v>
      </c>
      <c r="AL1161" s="100">
        <v>0</v>
      </c>
      <c r="AM1161" s="100">
        <v>0</v>
      </c>
      <c r="AN1161" s="100">
        <v>0</v>
      </c>
      <c r="AO1161" s="100">
        <f>IFERROR(AF1161*20+(((AJ1161/AH1161)/2)*20),0)</f>
        <v>20880</v>
      </c>
      <c r="AP1161" s="100">
        <f t="shared" si="692"/>
        <v>83870</v>
      </c>
      <c r="AQ1161" s="101">
        <f t="shared" si="693"/>
        <v>1761265</v>
      </c>
      <c r="AR1161" s="101">
        <v>0</v>
      </c>
      <c r="AS1161" s="101">
        <v>0</v>
      </c>
      <c r="AT1161" s="138"/>
      <c r="AU1161" s="127"/>
      <c r="AV1161" s="128"/>
      <c r="AW1161" s="105">
        <v>0</v>
      </c>
      <c r="AX1161" s="144"/>
      <c r="AY1161" s="145"/>
      <c r="AZ1161" s="107"/>
      <c r="BA1161" s="125"/>
      <c r="BB1161" s="125"/>
      <c r="BC1161" s="125"/>
      <c r="BD1161" s="125"/>
      <c r="BE1161" s="126"/>
      <c r="BF1161" s="126"/>
      <c r="BG1161" s="126"/>
      <c r="BH1161" s="126"/>
      <c r="BI1161" s="126"/>
      <c r="BJ1161" s="126"/>
      <c r="BK1161" s="126"/>
      <c r="BL1161" s="126"/>
      <c r="BM1161" s="126"/>
      <c r="BN1161" s="110" t="s">
        <v>1118</v>
      </c>
    </row>
    <row r="1162" spans="1:66" s="8" customFormat="1" ht="12.75" customHeight="1" x14ac:dyDescent="0.25">
      <c r="A1162" s="150">
        <v>1070</v>
      </c>
      <c r="B1162" s="150">
        <v>4</v>
      </c>
      <c r="C1162" s="90">
        <v>7</v>
      </c>
      <c r="D1162" s="111" t="s">
        <v>148</v>
      </c>
      <c r="E1162" s="210" t="s">
        <v>1113</v>
      </c>
      <c r="F1162" s="150" t="s">
        <v>19</v>
      </c>
      <c r="G1162" s="150" t="s">
        <v>17</v>
      </c>
      <c r="H1162" s="150" t="s">
        <v>150</v>
      </c>
      <c r="I1162" s="150" t="s">
        <v>782</v>
      </c>
      <c r="J1162" s="151">
        <v>45716</v>
      </c>
      <c r="K1162" s="135" t="s">
        <v>122</v>
      </c>
      <c r="L1162" s="135">
        <v>461000783</v>
      </c>
      <c r="M1162" s="151">
        <v>45718</v>
      </c>
      <c r="N1162" s="152">
        <v>45717.6875</v>
      </c>
      <c r="O1162" s="152">
        <v>45717.6875</v>
      </c>
      <c r="P1162" s="152">
        <v>45717.690972222219</v>
      </c>
      <c r="Q1162" s="152">
        <v>45717.885416666664</v>
      </c>
      <c r="R1162" s="152" t="s">
        <v>118</v>
      </c>
      <c r="S1162" s="152" t="s">
        <v>118</v>
      </c>
      <c r="T1162" s="152">
        <v>45717.895833333336</v>
      </c>
      <c r="U1162" s="152">
        <v>45718.059027777781</v>
      </c>
      <c r="V1162" s="219">
        <f t="shared" ref="V1162:V1169" si="694">+Q1162-O1162</f>
        <v>0.19791666666424135</v>
      </c>
      <c r="W1162" s="203">
        <v>0.20833333333333334</v>
      </c>
      <c r="X1162" s="219" t="str">
        <f t="shared" ref="X1162:X1169" si="695">IF(VALUE(V1162)&lt;=VALUE("05:00"),"00:00",VALUE(V1162)-VALUE("05:00"))</f>
        <v>00:00</v>
      </c>
      <c r="Y1162" s="96">
        <v>0</v>
      </c>
      <c r="Z1162" s="96">
        <v>58</v>
      </c>
      <c r="AA1162" s="96">
        <f t="shared" si="664"/>
        <v>58</v>
      </c>
      <c r="AB1162" s="97">
        <f t="shared" si="665"/>
        <v>0</v>
      </c>
      <c r="AC1162" s="97">
        <f t="shared" si="666"/>
        <v>4031.67</v>
      </c>
      <c r="AD1162" s="98">
        <v>4031.67</v>
      </c>
      <c r="AE1162" s="98">
        <v>4029.1</v>
      </c>
      <c r="AF1162" s="98">
        <v>4052.2</v>
      </c>
      <c r="AG1162" s="98">
        <f t="shared" si="667"/>
        <v>20.529999999999745</v>
      </c>
      <c r="AH1162" s="99">
        <v>672.5</v>
      </c>
      <c r="AI1162" s="100">
        <f t="shared" si="668"/>
        <v>2725104.5</v>
      </c>
      <c r="AJ1162" s="100">
        <f t="shared" si="691"/>
        <v>0</v>
      </c>
      <c r="AK1162" s="100">
        <v>0</v>
      </c>
      <c r="AL1162" s="100">
        <v>24140</v>
      </c>
      <c r="AM1162" s="100">
        <v>0</v>
      </c>
      <c r="AN1162" s="100">
        <v>0</v>
      </c>
      <c r="AO1162" s="100">
        <v>0</v>
      </c>
      <c r="AP1162" s="100">
        <f t="shared" si="692"/>
        <v>137463</v>
      </c>
      <c r="AQ1162" s="101">
        <f t="shared" si="693"/>
        <v>2886708</v>
      </c>
      <c r="AR1162" s="101">
        <v>0</v>
      </c>
      <c r="AS1162" s="101">
        <v>0</v>
      </c>
      <c r="AT1162" s="102" t="s">
        <v>33</v>
      </c>
      <c r="AU1162" s="109">
        <v>12</v>
      </c>
      <c r="AV1162" s="100">
        <f>27.72-20.22</f>
        <v>7.5</v>
      </c>
      <c r="AW1162" s="105">
        <v>0</v>
      </c>
      <c r="AX1162" s="216">
        <f t="shared" ref="AX1162:AX1168" si="696">IFERROR((AG1162/AF1162)*100, "")</f>
        <v>0.50663836928087824</v>
      </c>
      <c r="AY1162" s="217">
        <f t="shared" ref="AY1162:AY1168" si="697">ROUNDUP(AG1162*AH1162,0)</f>
        <v>13807</v>
      </c>
      <c r="AZ1162" s="107"/>
      <c r="BA1162" s="94">
        <v>45717.6875</v>
      </c>
      <c r="BB1162" s="94">
        <v>45717.690972222219</v>
      </c>
      <c r="BC1162" s="94">
        <v>45717.736111111109</v>
      </c>
      <c r="BD1162" s="94">
        <v>45717.864583333336</v>
      </c>
      <c r="BE1162" s="95">
        <f t="shared" ref="BE1162:BE1228" si="698">+BD1162-BA1162</f>
        <v>0.17708333333575865</v>
      </c>
      <c r="BF1162" s="95">
        <v>1.1805555555555555E-2</v>
      </c>
      <c r="BG1162" s="95">
        <v>3.5416666666666666E-2</v>
      </c>
      <c r="BH1162" s="95">
        <f t="shared" ref="BH1162:BJ1169" si="699">+BB1162-BA1162</f>
        <v>3.4722222189884633E-3</v>
      </c>
      <c r="BI1162" s="95">
        <f t="shared" si="699"/>
        <v>4.5138888890505768E-2</v>
      </c>
      <c r="BJ1162" s="95">
        <f t="shared" si="699"/>
        <v>0.12847222222626442</v>
      </c>
      <c r="BK1162" s="95">
        <f t="shared" ref="BK1162:BK1169" si="700">+BI1162+BJ1162</f>
        <v>0.17361111111677019</v>
      </c>
      <c r="BL1162" s="95">
        <f t="shared" ref="BL1162:BL1169" si="701">+BE1162-BH1162-BF1162-BG1162</f>
        <v>0.12638888889454797</v>
      </c>
      <c r="BM1162" s="95" t="str">
        <f t="shared" ref="BM1162:BM1169" si="702">IF(VALUE(BE1162)&lt;=VALUE("05:00"),"00:00",VALUE(BE1162)-VALUE("05:00"))</f>
        <v>00:00</v>
      </c>
      <c r="BN1162" s="110"/>
    </row>
    <row r="1163" spans="1:66" s="8" customFormat="1" ht="12.75" customHeight="1" x14ac:dyDescent="0.25">
      <c r="A1163" s="150">
        <v>1071</v>
      </c>
      <c r="B1163" s="150">
        <v>5</v>
      </c>
      <c r="C1163" s="90">
        <v>8</v>
      </c>
      <c r="D1163" s="111" t="s">
        <v>148</v>
      </c>
      <c r="E1163" s="210" t="s">
        <v>1113</v>
      </c>
      <c r="F1163" s="150" t="s">
        <v>19</v>
      </c>
      <c r="G1163" s="150" t="s">
        <v>17</v>
      </c>
      <c r="H1163" s="150" t="s">
        <v>150</v>
      </c>
      <c r="I1163" s="150" t="s">
        <v>786</v>
      </c>
      <c r="J1163" s="151">
        <v>45716</v>
      </c>
      <c r="K1163" s="135" t="s">
        <v>117</v>
      </c>
      <c r="L1163" s="135">
        <v>461000784</v>
      </c>
      <c r="M1163" s="151">
        <v>45718</v>
      </c>
      <c r="N1163" s="152">
        <v>45717.958333333336</v>
      </c>
      <c r="O1163" s="152">
        <v>45717.958333333336</v>
      </c>
      <c r="P1163" s="152">
        <v>45717.961805555555</v>
      </c>
      <c r="Q1163" s="152">
        <v>45718.166666666664</v>
      </c>
      <c r="R1163" s="152" t="s">
        <v>118</v>
      </c>
      <c r="S1163" s="152" t="s">
        <v>118</v>
      </c>
      <c r="T1163" s="152">
        <v>45718.1875</v>
      </c>
      <c r="U1163" s="152">
        <v>45718.321527777778</v>
      </c>
      <c r="V1163" s="219">
        <f t="shared" si="694"/>
        <v>0.20833333332848269</v>
      </c>
      <c r="W1163" s="203">
        <v>0.20833333333333334</v>
      </c>
      <c r="X1163" s="219" t="str">
        <f t="shared" si="695"/>
        <v>00:00</v>
      </c>
      <c r="Y1163" s="96">
        <v>13</v>
      </c>
      <c r="Z1163" s="96">
        <v>45</v>
      </c>
      <c r="AA1163" s="96">
        <f t="shared" si="664"/>
        <v>58</v>
      </c>
      <c r="AB1163" s="97">
        <f t="shared" si="665"/>
        <v>888.80551724137945</v>
      </c>
      <c r="AC1163" s="97">
        <f t="shared" si="666"/>
        <v>3076.6344827586208</v>
      </c>
      <c r="AD1163" s="98">
        <v>3965.44</v>
      </c>
      <c r="AE1163" s="98">
        <v>4028.8</v>
      </c>
      <c r="AF1163" s="98">
        <v>4037.6</v>
      </c>
      <c r="AG1163" s="98">
        <f t="shared" si="667"/>
        <v>72.159999999999854</v>
      </c>
      <c r="AH1163" s="99">
        <v>672.5</v>
      </c>
      <c r="AI1163" s="100">
        <f t="shared" si="668"/>
        <v>2715286</v>
      </c>
      <c r="AJ1163" s="100">
        <f>(2.4*AH1163)*2</f>
        <v>3228</v>
      </c>
      <c r="AK1163" s="100">
        <v>0</v>
      </c>
      <c r="AL1163" s="100">
        <v>0</v>
      </c>
      <c r="AM1163" s="100">
        <v>0</v>
      </c>
      <c r="AN1163" s="100">
        <v>0</v>
      </c>
      <c r="AO1163" s="100">
        <v>0</v>
      </c>
      <c r="AP1163" s="100">
        <f t="shared" si="692"/>
        <v>135926</v>
      </c>
      <c r="AQ1163" s="101">
        <f t="shared" si="693"/>
        <v>2854440</v>
      </c>
      <c r="AR1163" s="101">
        <v>0</v>
      </c>
      <c r="AS1163" s="101">
        <v>0</v>
      </c>
      <c r="AT1163" s="102" t="s">
        <v>33</v>
      </c>
      <c r="AU1163" s="109" t="s">
        <v>118</v>
      </c>
      <c r="AV1163" s="100">
        <v>0</v>
      </c>
      <c r="AW1163" s="105">
        <v>0</v>
      </c>
      <c r="AX1163" s="216">
        <f t="shared" si="696"/>
        <v>1.7872003170200084</v>
      </c>
      <c r="AY1163" s="217">
        <f t="shared" si="697"/>
        <v>48528</v>
      </c>
      <c r="AZ1163" s="107"/>
      <c r="BA1163" s="94">
        <v>45717.958333333336</v>
      </c>
      <c r="BB1163" s="94">
        <v>45717.961805555555</v>
      </c>
      <c r="BC1163" s="94">
        <v>45717.961805555555</v>
      </c>
      <c r="BD1163" s="94">
        <v>45718.089583333334</v>
      </c>
      <c r="BE1163" s="95">
        <f t="shared" si="698"/>
        <v>0.13124999999854481</v>
      </c>
      <c r="BF1163" s="95">
        <v>0</v>
      </c>
      <c r="BG1163" s="95">
        <v>3.2638888888888891E-2</v>
      </c>
      <c r="BH1163" s="95">
        <f t="shared" si="699"/>
        <v>3.4722222189884633E-3</v>
      </c>
      <c r="BI1163" s="95">
        <f t="shared" si="699"/>
        <v>0</v>
      </c>
      <c r="BJ1163" s="95">
        <f t="shared" si="699"/>
        <v>0.12777777777955635</v>
      </c>
      <c r="BK1163" s="95">
        <f t="shared" si="700"/>
        <v>0.12777777777955635</v>
      </c>
      <c r="BL1163" s="95">
        <f t="shared" si="701"/>
        <v>9.5138888890667461E-2</v>
      </c>
      <c r="BM1163" s="95" t="str">
        <f t="shared" si="702"/>
        <v>00:00</v>
      </c>
      <c r="BN1163" s="110"/>
    </row>
    <row r="1164" spans="1:66" s="8" customFormat="1" ht="12.75" customHeight="1" x14ac:dyDescent="0.25">
      <c r="A1164" s="150">
        <v>1072</v>
      </c>
      <c r="B1164" s="150">
        <v>6</v>
      </c>
      <c r="C1164" s="90">
        <v>9</v>
      </c>
      <c r="D1164" s="111" t="s">
        <v>148</v>
      </c>
      <c r="E1164" s="210" t="s">
        <v>1113</v>
      </c>
      <c r="F1164" s="150" t="s">
        <v>19</v>
      </c>
      <c r="G1164" s="150" t="s">
        <v>17</v>
      </c>
      <c r="H1164" s="150" t="s">
        <v>150</v>
      </c>
      <c r="I1164" s="150" t="s">
        <v>787</v>
      </c>
      <c r="J1164" s="151">
        <v>45717</v>
      </c>
      <c r="K1164" s="135" t="s">
        <v>122</v>
      </c>
      <c r="L1164" s="135">
        <v>461000785</v>
      </c>
      <c r="M1164" s="151">
        <v>45719</v>
      </c>
      <c r="N1164" s="152">
        <v>45718.604166666664</v>
      </c>
      <c r="O1164" s="152">
        <v>45718.604166666664</v>
      </c>
      <c r="P1164" s="152">
        <v>45718.614583333336</v>
      </c>
      <c r="Q1164" s="152">
        <v>45718.791666666664</v>
      </c>
      <c r="R1164" s="152" t="s">
        <v>118</v>
      </c>
      <c r="S1164" s="152" t="s">
        <v>118</v>
      </c>
      <c r="T1164" s="152">
        <v>45718.958333333336</v>
      </c>
      <c r="U1164" s="152">
        <v>45719.131944444445</v>
      </c>
      <c r="V1164" s="219">
        <f t="shared" si="694"/>
        <v>0.1875</v>
      </c>
      <c r="W1164" s="203">
        <v>0.20833333333333334</v>
      </c>
      <c r="X1164" s="219" t="str">
        <f t="shared" si="695"/>
        <v>00:00</v>
      </c>
      <c r="Y1164" s="96">
        <v>13</v>
      </c>
      <c r="Z1164" s="96">
        <v>45</v>
      </c>
      <c r="AA1164" s="96">
        <f t="shared" si="664"/>
        <v>58</v>
      </c>
      <c r="AB1164" s="97">
        <f t="shared" si="665"/>
        <v>902.2470689655172</v>
      </c>
      <c r="AC1164" s="97">
        <f t="shared" si="666"/>
        <v>3123.1629310344829</v>
      </c>
      <c r="AD1164" s="98">
        <v>4025.41</v>
      </c>
      <c r="AE1164" s="98">
        <v>4034</v>
      </c>
      <c r="AF1164" s="98">
        <v>4048.4</v>
      </c>
      <c r="AG1164" s="98">
        <f t="shared" si="667"/>
        <v>22.990000000000236</v>
      </c>
      <c r="AH1164" s="99">
        <v>672.5</v>
      </c>
      <c r="AI1164" s="100">
        <f t="shared" si="668"/>
        <v>2722549</v>
      </c>
      <c r="AJ1164" s="100">
        <f>(0*AH1164)*2</f>
        <v>0</v>
      </c>
      <c r="AK1164" s="100">
        <v>0</v>
      </c>
      <c r="AL1164" s="100">
        <v>24140</v>
      </c>
      <c r="AM1164" s="100">
        <v>0</v>
      </c>
      <c r="AN1164" s="100">
        <v>0</v>
      </c>
      <c r="AO1164" s="100">
        <v>0</v>
      </c>
      <c r="AP1164" s="100">
        <f t="shared" si="692"/>
        <v>137335</v>
      </c>
      <c r="AQ1164" s="101">
        <f t="shared" si="693"/>
        <v>2884024</v>
      </c>
      <c r="AR1164" s="101">
        <v>0</v>
      </c>
      <c r="AS1164" s="101">
        <v>0</v>
      </c>
      <c r="AT1164" s="102" t="s">
        <v>33</v>
      </c>
      <c r="AU1164" s="109">
        <v>7</v>
      </c>
      <c r="AV1164" s="100">
        <f>16.79-12.79</f>
        <v>4</v>
      </c>
      <c r="AW1164" s="105">
        <v>0</v>
      </c>
      <c r="AX1164" s="216">
        <f t="shared" si="696"/>
        <v>0.56787866811580467</v>
      </c>
      <c r="AY1164" s="217">
        <f t="shared" si="697"/>
        <v>15461</v>
      </c>
      <c r="AZ1164" s="107"/>
      <c r="BA1164" s="94">
        <v>45718.604166666664</v>
      </c>
      <c r="BB1164" s="94">
        <v>45718.614583333336</v>
      </c>
      <c r="BC1164" s="94">
        <v>45718.614583333336</v>
      </c>
      <c r="BD1164" s="94">
        <v>45718.70208333333</v>
      </c>
      <c r="BE1164" s="95">
        <f t="shared" si="698"/>
        <v>9.7916666665696539E-2</v>
      </c>
      <c r="BF1164" s="95">
        <v>0</v>
      </c>
      <c r="BG1164" s="95">
        <v>0</v>
      </c>
      <c r="BH1164" s="95">
        <f t="shared" si="699"/>
        <v>1.0416666671517305E-2</v>
      </c>
      <c r="BI1164" s="95">
        <f t="shared" si="699"/>
        <v>0</v>
      </c>
      <c r="BJ1164" s="95">
        <f t="shared" si="699"/>
        <v>8.7499999994179234E-2</v>
      </c>
      <c r="BK1164" s="95">
        <f t="shared" si="700"/>
        <v>8.7499999994179234E-2</v>
      </c>
      <c r="BL1164" s="95">
        <f t="shared" si="701"/>
        <v>8.7499999994179234E-2</v>
      </c>
      <c r="BM1164" s="95" t="str">
        <f t="shared" si="702"/>
        <v>00:00</v>
      </c>
      <c r="BN1164" s="110"/>
    </row>
    <row r="1165" spans="1:66" s="8" customFormat="1" ht="12.75" customHeight="1" x14ac:dyDescent="0.25">
      <c r="A1165" s="150">
        <v>1073</v>
      </c>
      <c r="B1165" s="150">
        <v>7</v>
      </c>
      <c r="C1165" s="90">
        <v>10</v>
      </c>
      <c r="D1165" s="111" t="s">
        <v>148</v>
      </c>
      <c r="E1165" s="210" t="s">
        <v>1113</v>
      </c>
      <c r="F1165" s="150" t="s">
        <v>19</v>
      </c>
      <c r="G1165" s="150" t="s">
        <v>17</v>
      </c>
      <c r="H1165" s="150" t="s">
        <v>150</v>
      </c>
      <c r="I1165" s="150" t="s">
        <v>791</v>
      </c>
      <c r="J1165" s="151">
        <v>45717</v>
      </c>
      <c r="K1165" s="135" t="s">
        <v>117</v>
      </c>
      <c r="L1165" s="135">
        <v>461000786</v>
      </c>
      <c r="M1165" s="151">
        <v>45719</v>
      </c>
      <c r="N1165" s="152">
        <v>45719.072916666664</v>
      </c>
      <c r="O1165" s="152">
        <v>45719.072916666664</v>
      </c>
      <c r="P1165" s="152">
        <v>45719.076388888891</v>
      </c>
      <c r="Q1165" s="152">
        <v>45719.21875</v>
      </c>
      <c r="R1165" s="152" t="s">
        <v>118</v>
      </c>
      <c r="S1165" s="152" t="s">
        <v>118</v>
      </c>
      <c r="T1165" s="152">
        <v>45719.3125</v>
      </c>
      <c r="U1165" s="152">
        <v>45719.395833333336</v>
      </c>
      <c r="V1165" s="219">
        <f t="shared" si="694"/>
        <v>0.14583333333575865</v>
      </c>
      <c r="W1165" s="203">
        <v>0.20833333333333334</v>
      </c>
      <c r="X1165" s="219" t="str">
        <f t="shared" si="695"/>
        <v>00:00</v>
      </c>
      <c r="Y1165" s="96">
        <v>0</v>
      </c>
      <c r="Z1165" s="96">
        <v>58</v>
      </c>
      <c r="AA1165" s="96">
        <f t="shared" si="664"/>
        <v>58</v>
      </c>
      <c r="AB1165" s="97">
        <f t="shared" si="665"/>
        <v>0</v>
      </c>
      <c r="AC1165" s="97">
        <f t="shared" si="666"/>
        <v>4009.5699999999997</v>
      </c>
      <c r="AD1165" s="98">
        <v>4009.57</v>
      </c>
      <c r="AE1165" s="98">
        <v>4029.8</v>
      </c>
      <c r="AF1165" s="98">
        <v>4041.8</v>
      </c>
      <c r="AG1165" s="98">
        <f t="shared" si="667"/>
        <v>32.230000000000018</v>
      </c>
      <c r="AH1165" s="99">
        <v>672.5</v>
      </c>
      <c r="AI1165" s="100">
        <f t="shared" si="668"/>
        <v>2718110.5</v>
      </c>
      <c r="AJ1165" s="100">
        <f>(0*AH1165)*2</f>
        <v>0</v>
      </c>
      <c r="AK1165" s="100">
        <v>0</v>
      </c>
      <c r="AL1165" s="100">
        <v>24140</v>
      </c>
      <c r="AM1165" s="100">
        <v>0</v>
      </c>
      <c r="AN1165" s="100">
        <v>0</v>
      </c>
      <c r="AO1165" s="100">
        <v>0</v>
      </c>
      <c r="AP1165" s="100">
        <f t="shared" si="692"/>
        <v>137113</v>
      </c>
      <c r="AQ1165" s="101">
        <f t="shared" si="693"/>
        <v>2879364</v>
      </c>
      <c r="AR1165" s="101">
        <v>0</v>
      </c>
      <c r="AS1165" s="101">
        <v>0</v>
      </c>
      <c r="AT1165" s="102" t="s">
        <v>33</v>
      </c>
      <c r="AU1165" s="109">
        <v>8</v>
      </c>
      <c r="AV1165" s="100">
        <f>14.48-9.98</f>
        <v>4.5</v>
      </c>
      <c r="AW1165" s="105">
        <v>0</v>
      </c>
      <c r="AX1165" s="216">
        <f t="shared" si="696"/>
        <v>0.79741699242911623</v>
      </c>
      <c r="AY1165" s="217">
        <f t="shared" si="697"/>
        <v>21675</v>
      </c>
      <c r="AZ1165" s="107"/>
      <c r="BA1165" s="94">
        <v>45719.072916666664</v>
      </c>
      <c r="BB1165" s="94">
        <v>45719.076388888891</v>
      </c>
      <c r="BC1165" s="94">
        <v>45719.076388888891</v>
      </c>
      <c r="BD1165" s="94">
        <v>45719.197222222225</v>
      </c>
      <c r="BE1165" s="95">
        <f t="shared" si="698"/>
        <v>0.12430555556056788</v>
      </c>
      <c r="BF1165" s="95">
        <v>0</v>
      </c>
      <c r="BG1165" s="95">
        <v>0</v>
      </c>
      <c r="BH1165" s="95">
        <f t="shared" si="699"/>
        <v>3.4722222262644209E-3</v>
      </c>
      <c r="BI1165" s="95">
        <f t="shared" si="699"/>
        <v>0</v>
      </c>
      <c r="BJ1165" s="95">
        <f t="shared" si="699"/>
        <v>0.12083333333430346</v>
      </c>
      <c r="BK1165" s="95">
        <f t="shared" si="700"/>
        <v>0.12083333333430346</v>
      </c>
      <c r="BL1165" s="95">
        <f t="shared" si="701"/>
        <v>0.12083333333430346</v>
      </c>
      <c r="BM1165" s="95" t="str">
        <f t="shared" si="702"/>
        <v>00:00</v>
      </c>
      <c r="BN1165" s="110"/>
    </row>
    <row r="1166" spans="1:66" s="8" customFormat="1" ht="12.75" customHeight="1" x14ac:dyDescent="0.25">
      <c r="A1166" s="150">
        <v>1074</v>
      </c>
      <c r="B1166" s="150">
        <v>8</v>
      </c>
      <c r="C1166" s="90">
        <v>11</v>
      </c>
      <c r="D1166" s="111" t="s">
        <v>148</v>
      </c>
      <c r="E1166" s="210" t="s">
        <v>1113</v>
      </c>
      <c r="F1166" s="150" t="s">
        <v>19</v>
      </c>
      <c r="G1166" s="150" t="s">
        <v>17</v>
      </c>
      <c r="H1166" s="150" t="s">
        <v>150</v>
      </c>
      <c r="I1166" s="150" t="s">
        <v>809</v>
      </c>
      <c r="J1166" s="151">
        <v>45717</v>
      </c>
      <c r="K1166" s="135" t="s">
        <v>122</v>
      </c>
      <c r="L1166" s="135">
        <v>461000787</v>
      </c>
      <c r="M1166" s="151">
        <v>45719</v>
      </c>
      <c r="N1166" s="152">
        <v>45719.208333333336</v>
      </c>
      <c r="O1166" s="152">
        <v>45719.208333333336</v>
      </c>
      <c r="P1166" s="152">
        <v>45719.211805555555</v>
      </c>
      <c r="Q1166" s="152">
        <v>45719.375</v>
      </c>
      <c r="R1166" s="152" t="s">
        <v>118</v>
      </c>
      <c r="S1166" s="152" t="s">
        <v>118</v>
      </c>
      <c r="T1166" s="152">
        <v>45719.4375</v>
      </c>
      <c r="U1166" s="152">
        <v>45719.607638888891</v>
      </c>
      <c r="V1166" s="219">
        <f t="shared" si="694"/>
        <v>0.16666666666424135</v>
      </c>
      <c r="W1166" s="203">
        <v>0.20833333333333334</v>
      </c>
      <c r="X1166" s="219" t="str">
        <f t="shared" si="695"/>
        <v>00:00</v>
      </c>
      <c r="Y1166" s="96">
        <v>0</v>
      </c>
      <c r="Z1166" s="96">
        <v>59</v>
      </c>
      <c r="AA1166" s="96">
        <f t="shared" si="664"/>
        <v>59</v>
      </c>
      <c r="AB1166" s="97">
        <f t="shared" si="665"/>
        <v>0</v>
      </c>
      <c r="AC1166" s="97">
        <f t="shared" si="666"/>
        <v>4101.49</v>
      </c>
      <c r="AD1166" s="98">
        <v>4101.49</v>
      </c>
      <c r="AE1166" s="98">
        <v>4104.1000000000004</v>
      </c>
      <c r="AF1166" s="98">
        <v>4130</v>
      </c>
      <c r="AG1166" s="98">
        <f t="shared" si="667"/>
        <v>28.510000000000218</v>
      </c>
      <c r="AH1166" s="99">
        <v>672.5</v>
      </c>
      <c r="AI1166" s="100">
        <f t="shared" si="668"/>
        <v>2777425</v>
      </c>
      <c r="AJ1166" s="100">
        <f>(0*AH1166)*2</f>
        <v>0</v>
      </c>
      <c r="AK1166" s="100">
        <v>0</v>
      </c>
      <c r="AL1166" s="100">
        <v>24290</v>
      </c>
      <c r="AM1166" s="100">
        <v>0</v>
      </c>
      <c r="AN1166" s="100">
        <v>0</v>
      </c>
      <c r="AO1166" s="100">
        <v>0</v>
      </c>
      <c r="AP1166" s="100">
        <f t="shared" si="692"/>
        <v>140086</v>
      </c>
      <c r="AQ1166" s="101">
        <f t="shared" si="693"/>
        <v>2941801</v>
      </c>
      <c r="AR1166" s="101">
        <v>0</v>
      </c>
      <c r="AS1166" s="101">
        <v>0</v>
      </c>
      <c r="AT1166" s="102" t="s">
        <v>33</v>
      </c>
      <c r="AU1166" s="109">
        <v>13</v>
      </c>
      <c r="AV1166" s="100">
        <f>30.42-22.42</f>
        <v>8</v>
      </c>
      <c r="AW1166" s="105">
        <v>0</v>
      </c>
      <c r="AX1166" s="216">
        <f t="shared" si="696"/>
        <v>0.69031476997579222</v>
      </c>
      <c r="AY1166" s="217">
        <f t="shared" si="697"/>
        <v>19173</v>
      </c>
      <c r="AZ1166" s="107"/>
      <c r="BA1166" s="94">
        <v>45719.201388888891</v>
      </c>
      <c r="BB1166" s="94">
        <v>45719.204861111109</v>
      </c>
      <c r="BC1166" s="94">
        <v>45719.204861111109</v>
      </c>
      <c r="BD1166" s="94">
        <v>45719.322916666664</v>
      </c>
      <c r="BE1166" s="95">
        <f t="shared" si="698"/>
        <v>0.12152777777373558</v>
      </c>
      <c r="BF1166" s="95">
        <v>0</v>
      </c>
      <c r="BG1166" s="95">
        <v>0</v>
      </c>
      <c r="BH1166" s="95">
        <f t="shared" si="699"/>
        <v>3.4722222189884633E-3</v>
      </c>
      <c r="BI1166" s="95">
        <f t="shared" si="699"/>
        <v>0</v>
      </c>
      <c r="BJ1166" s="95">
        <f t="shared" si="699"/>
        <v>0.11805555555474712</v>
      </c>
      <c r="BK1166" s="95">
        <f t="shared" si="700"/>
        <v>0.11805555555474712</v>
      </c>
      <c r="BL1166" s="95">
        <f t="shared" si="701"/>
        <v>0.11805555555474712</v>
      </c>
      <c r="BM1166" s="95" t="str">
        <f t="shared" si="702"/>
        <v>00:00</v>
      </c>
      <c r="BN1166" s="110"/>
    </row>
    <row r="1167" spans="1:66" s="8" customFormat="1" ht="12.75" customHeight="1" x14ac:dyDescent="0.25">
      <c r="A1167" s="150">
        <v>1075</v>
      </c>
      <c r="B1167" s="150">
        <v>9</v>
      </c>
      <c r="C1167" s="90">
        <v>12</v>
      </c>
      <c r="D1167" s="111" t="s">
        <v>148</v>
      </c>
      <c r="E1167" s="210" t="s">
        <v>1113</v>
      </c>
      <c r="F1167" s="150" t="s">
        <v>19</v>
      </c>
      <c r="G1167" s="150" t="s">
        <v>17</v>
      </c>
      <c r="H1167" s="150" t="s">
        <v>150</v>
      </c>
      <c r="I1167" s="150" t="s">
        <v>813</v>
      </c>
      <c r="J1167" s="151">
        <v>45717</v>
      </c>
      <c r="K1167" s="135" t="s">
        <v>117</v>
      </c>
      <c r="L1167" s="135">
        <v>461000788</v>
      </c>
      <c r="M1167" s="151">
        <v>45719</v>
      </c>
      <c r="N1167" s="152">
        <v>45719.427083333336</v>
      </c>
      <c r="O1167" s="152">
        <v>45719.427083333336</v>
      </c>
      <c r="P1167" s="152">
        <v>45719.430555555555</v>
      </c>
      <c r="Q1167" s="152">
        <v>45719.572916666664</v>
      </c>
      <c r="R1167" s="152" t="s">
        <v>118</v>
      </c>
      <c r="S1167" s="152" t="s">
        <v>118</v>
      </c>
      <c r="T1167" s="152">
        <v>45719.625</v>
      </c>
      <c r="U1167" s="152">
        <v>45719.729166666664</v>
      </c>
      <c r="V1167" s="219">
        <f t="shared" si="694"/>
        <v>0.14583333332848269</v>
      </c>
      <c r="W1167" s="203">
        <v>0.20833333333333334</v>
      </c>
      <c r="X1167" s="219" t="str">
        <f t="shared" si="695"/>
        <v>00:00</v>
      </c>
      <c r="Y1167" s="96">
        <v>0</v>
      </c>
      <c r="Z1167" s="96">
        <v>58</v>
      </c>
      <c r="AA1167" s="96">
        <f t="shared" si="664"/>
        <v>58</v>
      </c>
      <c r="AB1167" s="97">
        <f t="shared" si="665"/>
        <v>0</v>
      </c>
      <c r="AC1167" s="97">
        <f t="shared" si="666"/>
        <v>4032.69</v>
      </c>
      <c r="AD1167" s="98">
        <v>4032.69</v>
      </c>
      <c r="AE1167" s="98">
        <v>4037.1</v>
      </c>
      <c r="AF1167" s="98">
        <v>4054.8</v>
      </c>
      <c r="AG1167" s="98">
        <f t="shared" si="667"/>
        <v>22.110000000000127</v>
      </c>
      <c r="AH1167" s="99">
        <v>672.5</v>
      </c>
      <c r="AI1167" s="100">
        <f t="shared" si="668"/>
        <v>2726853</v>
      </c>
      <c r="AJ1167" s="100">
        <f>(0*AH1167)*2</f>
        <v>0</v>
      </c>
      <c r="AK1167" s="100">
        <v>0</v>
      </c>
      <c r="AL1167" s="100">
        <v>24140</v>
      </c>
      <c r="AM1167" s="100">
        <v>0</v>
      </c>
      <c r="AN1167" s="100">
        <v>0</v>
      </c>
      <c r="AO1167" s="100">
        <v>0</v>
      </c>
      <c r="AP1167" s="100">
        <f t="shared" si="692"/>
        <v>137550</v>
      </c>
      <c r="AQ1167" s="101">
        <f t="shared" si="693"/>
        <v>2888543</v>
      </c>
      <c r="AR1167" s="101">
        <v>0</v>
      </c>
      <c r="AS1167" s="101">
        <v>0</v>
      </c>
      <c r="AT1167" s="102" t="s">
        <v>33</v>
      </c>
      <c r="AU1167" s="109">
        <v>9</v>
      </c>
      <c r="AV1167" s="100">
        <f>20.16-15.16</f>
        <v>5</v>
      </c>
      <c r="AW1167" s="105">
        <v>0</v>
      </c>
      <c r="AX1167" s="216">
        <f t="shared" si="696"/>
        <v>0.54527966854099152</v>
      </c>
      <c r="AY1167" s="217">
        <f t="shared" si="697"/>
        <v>14869</v>
      </c>
      <c r="AZ1167" s="107"/>
      <c r="BA1167" s="94">
        <v>45719.427083333336</v>
      </c>
      <c r="BB1167" s="94">
        <v>45719.430555555555</v>
      </c>
      <c r="BC1167" s="94">
        <v>45719.430555555555</v>
      </c>
      <c r="BD1167" s="94">
        <v>45719.548611111109</v>
      </c>
      <c r="BE1167" s="95">
        <f t="shared" si="698"/>
        <v>0.12152777777373558</v>
      </c>
      <c r="BF1167" s="95">
        <v>0</v>
      </c>
      <c r="BG1167" s="95">
        <v>0</v>
      </c>
      <c r="BH1167" s="95">
        <f t="shared" si="699"/>
        <v>3.4722222189884633E-3</v>
      </c>
      <c r="BI1167" s="95">
        <f t="shared" si="699"/>
        <v>0</v>
      </c>
      <c r="BJ1167" s="95">
        <f t="shared" si="699"/>
        <v>0.11805555555474712</v>
      </c>
      <c r="BK1167" s="95">
        <f t="shared" si="700"/>
        <v>0.11805555555474712</v>
      </c>
      <c r="BL1167" s="95">
        <f t="shared" si="701"/>
        <v>0.11805555555474712</v>
      </c>
      <c r="BM1167" s="95" t="str">
        <f t="shared" si="702"/>
        <v>00:00</v>
      </c>
      <c r="BN1167" s="110"/>
    </row>
    <row r="1168" spans="1:66" s="8" customFormat="1" ht="12.75" customHeight="1" x14ac:dyDescent="0.25">
      <c r="A1168" s="150">
        <v>1076</v>
      </c>
      <c r="B1168" s="150">
        <v>10</v>
      </c>
      <c r="C1168" s="90">
        <v>13</v>
      </c>
      <c r="D1168" s="111" t="s">
        <v>148</v>
      </c>
      <c r="E1168" s="210" t="s">
        <v>1113</v>
      </c>
      <c r="F1168" s="150" t="s">
        <v>19</v>
      </c>
      <c r="G1168" s="150" t="s">
        <v>17</v>
      </c>
      <c r="H1168" s="150" t="s">
        <v>150</v>
      </c>
      <c r="I1168" s="150" t="s">
        <v>814</v>
      </c>
      <c r="J1168" s="151">
        <v>45719</v>
      </c>
      <c r="K1168" s="135" t="s">
        <v>122</v>
      </c>
      <c r="L1168" s="135">
        <v>461000789</v>
      </c>
      <c r="M1168" s="151">
        <v>45720</v>
      </c>
      <c r="N1168" s="152">
        <v>45720.072916666664</v>
      </c>
      <c r="O1168" s="152">
        <v>45720.072916666664</v>
      </c>
      <c r="P1168" s="152">
        <v>45720.083333333336</v>
      </c>
      <c r="Q1168" s="152">
        <v>45720.270833333336</v>
      </c>
      <c r="R1168" s="152" t="s">
        <v>118</v>
      </c>
      <c r="S1168" s="152" t="s">
        <v>118</v>
      </c>
      <c r="T1168" s="152">
        <v>45720.3125</v>
      </c>
      <c r="U1168" s="152">
        <v>45720.388194444444</v>
      </c>
      <c r="V1168" s="219">
        <f t="shared" si="694"/>
        <v>0.19791666667151731</v>
      </c>
      <c r="W1168" s="203">
        <v>0.20833333333333334</v>
      </c>
      <c r="X1168" s="219" t="str">
        <f t="shared" si="695"/>
        <v>00:00</v>
      </c>
      <c r="Y1168" s="96">
        <v>0</v>
      </c>
      <c r="Z1168" s="96">
        <v>58</v>
      </c>
      <c r="AA1168" s="96">
        <v>58</v>
      </c>
      <c r="AB1168" s="97">
        <f t="shared" si="665"/>
        <v>0</v>
      </c>
      <c r="AC1168" s="97">
        <f t="shared" si="666"/>
        <v>4002.17</v>
      </c>
      <c r="AD1168" s="98">
        <v>4002.17</v>
      </c>
      <c r="AE1168" s="98">
        <v>4029.1</v>
      </c>
      <c r="AF1168" s="98">
        <v>4038</v>
      </c>
      <c r="AG1168" s="98">
        <f t="shared" si="667"/>
        <v>35.829999999999927</v>
      </c>
      <c r="AH1168" s="99">
        <v>672.5</v>
      </c>
      <c r="AI1168" s="100">
        <f t="shared" si="668"/>
        <v>2715555</v>
      </c>
      <c r="AJ1168" s="100">
        <f>(1.2*AH1168)*2</f>
        <v>1614</v>
      </c>
      <c r="AK1168" s="100">
        <v>0</v>
      </c>
      <c r="AL1168" s="100">
        <v>0</v>
      </c>
      <c r="AM1168" s="100">
        <v>0</v>
      </c>
      <c r="AN1168" s="100">
        <v>0</v>
      </c>
      <c r="AO1168" s="100">
        <v>0</v>
      </c>
      <c r="AP1168" s="100">
        <f t="shared" si="692"/>
        <v>135859</v>
      </c>
      <c r="AQ1168" s="101">
        <f t="shared" si="693"/>
        <v>2853028</v>
      </c>
      <c r="AR1168" s="101">
        <v>0</v>
      </c>
      <c r="AS1168" s="101">
        <v>0</v>
      </c>
      <c r="AT1168" s="102" t="s">
        <v>33</v>
      </c>
      <c r="AU1168" s="109" t="s">
        <v>118</v>
      </c>
      <c r="AV1168" s="100">
        <v>0</v>
      </c>
      <c r="AW1168" s="105">
        <v>0</v>
      </c>
      <c r="AX1168" s="216">
        <f t="shared" si="696"/>
        <v>0.8873204556711225</v>
      </c>
      <c r="AY1168" s="217">
        <f t="shared" si="697"/>
        <v>24096</v>
      </c>
      <c r="AZ1168" s="107"/>
      <c r="BA1168" s="94">
        <v>45720.072916666664</v>
      </c>
      <c r="BB1168" s="94">
        <v>45720.083333333336</v>
      </c>
      <c r="BC1168" s="94">
        <v>45720.083333333336</v>
      </c>
      <c r="BD1168" s="94">
        <v>45720.215277777781</v>
      </c>
      <c r="BE1168" s="95">
        <f t="shared" si="698"/>
        <v>0.14236111111677019</v>
      </c>
      <c r="BF1168" s="95">
        <v>1.5972222222222221E-2</v>
      </c>
      <c r="BG1168" s="95">
        <v>0</v>
      </c>
      <c r="BH1168" s="95">
        <f t="shared" si="699"/>
        <v>1.0416666671517305E-2</v>
      </c>
      <c r="BI1168" s="95">
        <f t="shared" si="699"/>
        <v>0</v>
      </c>
      <c r="BJ1168" s="95">
        <f t="shared" si="699"/>
        <v>0.13194444444525288</v>
      </c>
      <c r="BK1168" s="95">
        <f t="shared" si="700"/>
        <v>0.13194444444525288</v>
      </c>
      <c r="BL1168" s="95">
        <f t="shared" si="701"/>
        <v>0.11597222222303066</v>
      </c>
      <c r="BM1168" s="95" t="str">
        <f t="shared" si="702"/>
        <v>00:00</v>
      </c>
      <c r="BN1168" s="110"/>
    </row>
    <row r="1169" spans="1:67" s="8" customFormat="1" ht="12.75" customHeight="1" x14ac:dyDescent="0.25">
      <c r="A1169" s="115">
        <v>1077</v>
      </c>
      <c r="B1169" s="115">
        <v>11</v>
      </c>
      <c r="C1169" s="90">
        <v>6</v>
      </c>
      <c r="D1169" s="115" t="s">
        <v>113</v>
      </c>
      <c r="E1169" s="210" t="s">
        <v>1082</v>
      </c>
      <c r="F1169" s="115" t="s">
        <v>27</v>
      </c>
      <c r="G1169" s="115" t="s">
        <v>12</v>
      </c>
      <c r="H1169" s="115" t="s">
        <v>115</v>
      </c>
      <c r="I1169" s="115" t="s">
        <v>1119</v>
      </c>
      <c r="J1169" s="117">
        <v>45720</v>
      </c>
      <c r="K1169" s="116" t="s">
        <v>117</v>
      </c>
      <c r="L1169" s="116">
        <v>282001139</v>
      </c>
      <c r="M1169" s="117">
        <v>45721</v>
      </c>
      <c r="N1169" s="118">
        <v>45720.354166666664</v>
      </c>
      <c r="O1169" s="118">
        <v>45720.354166666664</v>
      </c>
      <c r="P1169" s="118">
        <v>45720.357638888891</v>
      </c>
      <c r="Q1169" s="118">
        <v>45720.552083333336</v>
      </c>
      <c r="R1169" s="118" t="s">
        <v>118</v>
      </c>
      <c r="S1169" s="118" t="s">
        <v>118</v>
      </c>
      <c r="T1169" s="118">
        <v>45720.583333333336</v>
      </c>
      <c r="U1169" s="118">
        <v>45720.6875</v>
      </c>
      <c r="V1169" s="119">
        <f t="shared" si="694"/>
        <v>0.19791666667151731</v>
      </c>
      <c r="W1169" s="185">
        <v>0.20833333333333334</v>
      </c>
      <c r="X1169" s="119" t="str">
        <f t="shared" si="695"/>
        <v>00:00</v>
      </c>
      <c r="Y1169" s="96">
        <v>0</v>
      </c>
      <c r="Z1169" s="96">
        <v>10</v>
      </c>
      <c r="AA1169" s="96">
        <f t="shared" ref="AA1169:AA1232" si="703">+Y1169+Z1169</f>
        <v>10</v>
      </c>
      <c r="AB1169" s="97">
        <f t="shared" si="665"/>
        <v>0</v>
      </c>
      <c r="AC1169" s="97">
        <f t="shared" si="666"/>
        <v>676.19999999999982</v>
      </c>
      <c r="AD1169" s="98">
        <f>4025.06-3348.86</f>
        <v>676.19999999999982</v>
      </c>
      <c r="AE1169" s="98">
        <f>4112.8-3412.8</f>
        <v>700</v>
      </c>
      <c r="AF1169" s="98">
        <f>4118.2-3417.8</f>
        <v>700.39999999999964</v>
      </c>
      <c r="AG1169" s="98">
        <f t="shared" si="667"/>
        <v>24.199999999999818</v>
      </c>
      <c r="AH1169" s="99">
        <v>1586.7</v>
      </c>
      <c r="AI1169" s="100">
        <f t="shared" si="668"/>
        <v>1111324.6799999995</v>
      </c>
      <c r="AJ1169" s="100">
        <f>(0*AH1169)*2</f>
        <v>0</v>
      </c>
      <c r="AK1169" s="100">
        <v>0</v>
      </c>
      <c r="AL1169" s="100">
        <v>24290</v>
      </c>
      <c r="AM1169" s="100">
        <v>0</v>
      </c>
      <c r="AN1169" s="100">
        <v>0</v>
      </c>
      <c r="AO1169" s="100">
        <f>IFERROR(AF1169*20+(((AJ1169/AH1169)/2)*20),0)</f>
        <v>14007.999999999993</v>
      </c>
      <c r="AP1169" s="100">
        <f t="shared" si="692"/>
        <v>57482</v>
      </c>
      <c r="AQ1169" s="101">
        <f>ROUNDUP(SUM(AI1169:AP1169),0)-1</f>
        <v>1207104</v>
      </c>
      <c r="AR1169" s="101">
        <v>0</v>
      </c>
      <c r="AS1169" s="101">
        <v>0</v>
      </c>
      <c r="AT1169" s="137" t="s">
        <v>33</v>
      </c>
      <c r="AU1169" s="120">
        <v>4</v>
      </c>
      <c r="AV1169" s="121">
        <v>2.5</v>
      </c>
      <c r="AW1169" s="105">
        <v>0</v>
      </c>
      <c r="AX1169" s="140">
        <f>IFERROR(((AG1169+AG1170)/(AF1169+AF1170))*100, "")</f>
        <v>2.261667718906315</v>
      </c>
      <c r="AY1169" s="141">
        <f>ROUNDUP((AG1169+AG1170)*AH1169,0)</f>
        <v>147786</v>
      </c>
      <c r="AZ1169" s="107"/>
      <c r="BA1169" s="118">
        <v>45720.354166666664</v>
      </c>
      <c r="BB1169" s="118">
        <v>45720.357638888891</v>
      </c>
      <c r="BC1169" s="118">
        <v>45720.361111111109</v>
      </c>
      <c r="BD1169" s="118">
        <v>45720.524305555555</v>
      </c>
      <c r="BE1169" s="119">
        <f t="shared" si="698"/>
        <v>0.17013888889050577</v>
      </c>
      <c r="BF1169" s="119">
        <v>0</v>
      </c>
      <c r="BG1169" s="119">
        <v>1.5277777777777777E-2</v>
      </c>
      <c r="BH1169" s="119">
        <f t="shared" si="699"/>
        <v>3.4722222262644209E-3</v>
      </c>
      <c r="BI1169" s="119">
        <f t="shared" si="699"/>
        <v>3.4722222189884633E-3</v>
      </c>
      <c r="BJ1169" s="119">
        <f t="shared" si="699"/>
        <v>0.16319444444525288</v>
      </c>
      <c r="BK1169" s="119">
        <f t="shared" si="700"/>
        <v>0.16666666666424135</v>
      </c>
      <c r="BL1169" s="119">
        <f t="shared" si="701"/>
        <v>0.15138888888646357</v>
      </c>
      <c r="BM1169" s="119" t="str">
        <f t="shared" si="702"/>
        <v>00:00</v>
      </c>
      <c r="BN1169" s="110" t="s">
        <v>1120</v>
      </c>
    </row>
    <row r="1170" spans="1:67" s="8" customFormat="1" ht="12.75" customHeight="1" x14ac:dyDescent="0.25">
      <c r="A1170" s="122"/>
      <c r="B1170" s="122"/>
      <c r="C1170" s="90">
        <v>4</v>
      </c>
      <c r="D1170" s="122"/>
      <c r="E1170" s="210" t="s">
        <v>1079</v>
      </c>
      <c r="F1170" s="122"/>
      <c r="G1170" s="122"/>
      <c r="H1170" s="122"/>
      <c r="I1170" s="122"/>
      <c r="J1170" s="124"/>
      <c r="K1170" s="123"/>
      <c r="L1170" s="123"/>
      <c r="M1170" s="124"/>
      <c r="N1170" s="125"/>
      <c r="O1170" s="125"/>
      <c r="P1170" s="125"/>
      <c r="Q1170" s="125"/>
      <c r="R1170" s="125"/>
      <c r="S1170" s="125"/>
      <c r="T1170" s="125"/>
      <c r="U1170" s="125"/>
      <c r="V1170" s="126"/>
      <c r="W1170" s="189"/>
      <c r="X1170" s="126"/>
      <c r="Y1170" s="96">
        <v>0</v>
      </c>
      <c r="Z1170" s="96">
        <v>49</v>
      </c>
      <c r="AA1170" s="96">
        <f t="shared" si="703"/>
        <v>49</v>
      </c>
      <c r="AB1170" s="97">
        <f t="shared" si="665"/>
        <v>0</v>
      </c>
      <c r="AC1170" s="97">
        <f t="shared" si="666"/>
        <v>3348.8599999999997</v>
      </c>
      <c r="AD1170" s="98">
        <v>3348.86</v>
      </c>
      <c r="AE1170" s="98">
        <v>3412.8</v>
      </c>
      <c r="AF1170" s="98">
        <v>3417.8</v>
      </c>
      <c r="AG1170" s="98">
        <f t="shared" si="667"/>
        <v>68.940000000000055</v>
      </c>
      <c r="AH1170" s="99">
        <v>1586.7</v>
      </c>
      <c r="AI1170" s="100">
        <f t="shared" si="668"/>
        <v>5423023.2600000007</v>
      </c>
      <c r="AJ1170" s="100">
        <f>(0*AH1170)*2</f>
        <v>0</v>
      </c>
      <c r="AK1170" s="100"/>
      <c r="AL1170" s="100">
        <v>0</v>
      </c>
      <c r="AM1170" s="100"/>
      <c r="AN1170" s="100">
        <v>0</v>
      </c>
      <c r="AO1170" s="100">
        <f>IFERROR(AF1170*20+(((AJ1170/AH1170)/2)*20),0)</f>
        <v>68356</v>
      </c>
      <c r="AP1170" s="100">
        <f t="shared" si="692"/>
        <v>274569</v>
      </c>
      <c r="AQ1170" s="101">
        <f t="shared" ref="AQ1170:AQ1193" si="704">ROUNDUP(SUM(AI1170:AP1170),0)</f>
        <v>5765949</v>
      </c>
      <c r="AR1170" s="101">
        <v>0</v>
      </c>
      <c r="AS1170" s="101">
        <v>0</v>
      </c>
      <c r="AT1170" s="138"/>
      <c r="AU1170" s="127"/>
      <c r="AV1170" s="128"/>
      <c r="AW1170" s="105">
        <v>0</v>
      </c>
      <c r="AX1170" s="144"/>
      <c r="AY1170" s="145"/>
      <c r="AZ1170" s="107"/>
      <c r="BA1170" s="125"/>
      <c r="BB1170" s="125"/>
      <c r="BC1170" s="125"/>
      <c r="BD1170" s="125"/>
      <c r="BE1170" s="126"/>
      <c r="BF1170" s="126"/>
      <c r="BG1170" s="126"/>
      <c r="BH1170" s="126"/>
      <c r="BI1170" s="126"/>
      <c r="BJ1170" s="126"/>
      <c r="BK1170" s="126"/>
      <c r="BL1170" s="126"/>
      <c r="BM1170" s="126"/>
      <c r="BN1170" s="110" t="s">
        <v>1121</v>
      </c>
      <c r="BO1170" s="8" t="s">
        <v>0</v>
      </c>
    </row>
    <row r="1171" spans="1:67" s="8" customFormat="1" ht="12.75" customHeight="1" x14ac:dyDescent="0.25">
      <c r="A1171" s="150">
        <v>1078</v>
      </c>
      <c r="B1171" s="150">
        <v>12</v>
      </c>
      <c r="C1171" s="90">
        <v>14</v>
      </c>
      <c r="D1171" s="111" t="s">
        <v>148</v>
      </c>
      <c r="E1171" s="210" t="s">
        <v>1113</v>
      </c>
      <c r="F1171" s="150" t="s">
        <v>19</v>
      </c>
      <c r="G1171" s="150" t="s">
        <v>17</v>
      </c>
      <c r="H1171" s="150" t="s">
        <v>150</v>
      </c>
      <c r="I1171" s="150" t="s">
        <v>817</v>
      </c>
      <c r="J1171" s="151">
        <v>45719</v>
      </c>
      <c r="K1171" s="135" t="s">
        <v>122</v>
      </c>
      <c r="L1171" s="135">
        <v>461000790</v>
      </c>
      <c r="M1171" s="151">
        <v>45720</v>
      </c>
      <c r="N1171" s="152">
        <v>45720.5</v>
      </c>
      <c r="O1171" s="152">
        <v>45720.5</v>
      </c>
      <c r="P1171" s="152">
        <v>45720.503472222219</v>
      </c>
      <c r="Q1171" s="152">
        <v>45720.6875</v>
      </c>
      <c r="R1171" s="152" t="s">
        <v>118</v>
      </c>
      <c r="S1171" s="152" t="s">
        <v>118</v>
      </c>
      <c r="T1171" s="152">
        <v>45720.739583333336</v>
      </c>
      <c r="U1171" s="152">
        <v>45720.879861111112</v>
      </c>
      <c r="V1171" s="219">
        <f t="shared" ref="V1171:V1178" si="705">+Q1171-O1171</f>
        <v>0.1875</v>
      </c>
      <c r="W1171" s="203">
        <v>0.20833333333333334</v>
      </c>
      <c r="X1171" s="219" t="str">
        <f t="shared" ref="X1171:X1178" si="706">IF(VALUE(V1171)&lt;=VALUE("05:00"),"00:00",VALUE(V1171)-VALUE("05:00"))</f>
        <v>00:00</v>
      </c>
      <c r="Y1171" s="96">
        <v>3</v>
      </c>
      <c r="Z1171" s="96">
        <v>55</v>
      </c>
      <c r="AA1171" s="96">
        <f t="shared" si="703"/>
        <v>58</v>
      </c>
      <c r="AB1171" s="97">
        <f t="shared" si="665"/>
        <v>206.90896551724137</v>
      </c>
      <c r="AC1171" s="97">
        <f t="shared" si="666"/>
        <v>3793.3310344827587</v>
      </c>
      <c r="AD1171" s="97">
        <v>4000.24</v>
      </c>
      <c r="AE1171" s="98">
        <v>4028.8</v>
      </c>
      <c r="AF1171" s="98">
        <v>4038.8</v>
      </c>
      <c r="AG1171" s="98">
        <f t="shared" si="667"/>
        <v>38.5600000000004</v>
      </c>
      <c r="AH1171" s="99">
        <v>672.5</v>
      </c>
      <c r="AI1171" s="100">
        <f t="shared" si="668"/>
        <v>2716093</v>
      </c>
      <c r="AJ1171" s="100">
        <f>(1*AH1171)*2</f>
        <v>1345</v>
      </c>
      <c r="AK1171" s="100">
        <v>0</v>
      </c>
      <c r="AL1171" s="100">
        <v>0</v>
      </c>
      <c r="AM1171" s="100">
        <v>0</v>
      </c>
      <c r="AN1171" s="100">
        <v>0</v>
      </c>
      <c r="AO1171" s="100">
        <v>0</v>
      </c>
      <c r="AP1171" s="100">
        <f t="shared" si="692"/>
        <v>135872</v>
      </c>
      <c r="AQ1171" s="101">
        <f t="shared" si="704"/>
        <v>2853310</v>
      </c>
      <c r="AR1171" s="101">
        <v>0</v>
      </c>
      <c r="AS1171" s="101">
        <v>0</v>
      </c>
      <c r="AT1171" s="102" t="s">
        <v>33</v>
      </c>
      <c r="AU1171" s="109" t="s">
        <v>118</v>
      </c>
      <c r="AV1171" s="100">
        <v>0</v>
      </c>
      <c r="AW1171" s="105">
        <v>0</v>
      </c>
      <c r="AX1171" s="216">
        <f t="shared" ref="AX1171:AX1177" si="707">IFERROR((AG1171/AF1171)*100, "")</f>
        <v>0.95473903139547378</v>
      </c>
      <c r="AY1171" s="217">
        <f t="shared" ref="AY1171:AY1177" si="708">ROUNDUP(AG1171*AH1171,0)</f>
        <v>25932</v>
      </c>
      <c r="AZ1171" s="107"/>
      <c r="BA1171" s="94">
        <v>45720.5</v>
      </c>
      <c r="BB1171" s="94">
        <v>45720.503472222219</v>
      </c>
      <c r="BC1171" s="94">
        <v>45720.541666666664</v>
      </c>
      <c r="BD1171" s="94">
        <v>45720.666666666664</v>
      </c>
      <c r="BE1171" s="95">
        <f t="shared" si="698"/>
        <v>0.16666666666424135</v>
      </c>
      <c r="BF1171" s="95">
        <v>1.2500000000000001E-2</v>
      </c>
      <c r="BG1171" s="95">
        <v>2.5694444444444443E-2</v>
      </c>
      <c r="BH1171" s="95">
        <f t="shared" ref="BH1171:BJ1178" si="709">+BB1171-BA1171</f>
        <v>3.4722222189884633E-3</v>
      </c>
      <c r="BI1171" s="95">
        <f t="shared" si="709"/>
        <v>3.8194444445252884E-2</v>
      </c>
      <c r="BJ1171" s="95">
        <f t="shared" si="709"/>
        <v>0.125</v>
      </c>
      <c r="BK1171" s="95">
        <f t="shared" ref="BK1171:BK1178" si="710">+BI1171+BJ1171</f>
        <v>0.16319444444525288</v>
      </c>
      <c r="BL1171" s="95">
        <f t="shared" ref="BL1171:BL1178" si="711">+BE1171-BH1171-BF1171-BG1171</f>
        <v>0.12500000000080844</v>
      </c>
      <c r="BM1171" s="95" t="str">
        <f t="shared" ref="BM1171:BM1178" si="712">IF(VALUE(BE1171)&lt;=VALUE("05:00"),"00:00",VALUE(BE1171)-VALUE("05:00"))</f>
        <v>00:00</v>
      </c>
      <c r="BN1171" s="110"/>
    </row>
    <row r="1172" spans="1:67" s="8" customFormat="1" ht="12.75" customHeight="1" x14ac:dyDescent="0.25">
      <c r="A1172" s="150">
        <v>1079</v>
      </c>
      <c r="B1172" s="150">
        <v>13</v>
      </c>
      <c r="C1172" s="90">
        <v>15</v>
      </c>
      <c r="D1172" s="111" t="s">
        <v>148</v>
      </c>
      <c r="E1172" s="210" t="s">
        <v>1113</v>
      </c>
      <c r="F1172" s="150" t="s">
        <v>19</v>
      </c>
      <c r="G1172" s="150" t="s">
        <v>17</v>
      </c>
      <c r="H1172" s="150" t="s">
        <v>150</v>
      </c>
      <c r="I1172" s="150" t="s">
        <v>821</v>
      </c>
      <c r="J1172" s="151">
        <v>45719</v>
      </c>
      <c r="K1172" s="135" t="s">
        <v>117</v>
      </c>
      <c r="L1172" s="135">
        <v>461000791</v>
      </c>
      <c r="M1172" s="151">
        <v>45721</v>
      </c>
      <c r="N1172" s="152">
        <v>45720.71875</v>
      </c>
      <c r="O1172" s="152">
        <v>45720.71875</v>
      </c>
      <c r="P1172" s="152">
        <v>45720.75</v>
      </c>
      <c r="Q1172" s="152">
        <v>45720.90625</v>
      </c>
      <c r="R1172" s="152" t="s">
        <v>118</v>
      </c>
      <c r="S1172" s="152" t="s">
        <v>118</v>
      </c>
      <c r="T1172" s="152">
        <v>45720.972222222219</v>
      </c>
      <c r="U1172" s="152">
        <v>45721.09652777778</v>
      </c>
      <c r="V1172" s="219">
        <f t="shared" si="705"/>
        <v>0.1875</v>
      </c>
      <c r="W1172" s="203">
        <v>0.20833333333333334</v>
      </c>
      <c r="X1172" s="219" t="str">
        <f t="shared" si="706"/>
        <v>00:00</v>
      </c>
      <c r="Y1172" s="96">
        <v>17</v>
      </c>
      <c r="Z1172" s="96">
        <v>41</v>
      </c>
      <c r="AA1172" s="96">
        <f t="shared" si="703"/>
        <v>58</v>
      </c>
      <c r="AB1172" s="97">
        <f t="shared" si="665"/>
        <v>1182.4056896551724</v>
      </c>
      <c r="AC1172" s="97">
        <f t="shared" si="666"/>
        <v>2851.6843103448277</v>
      </c>
      <c r="AD1172" s="97">
        <v>4034.09</v>
      </c>
      <c r="AE1172" s="98">
        <v>4042.4</v>
      </c>
      <c r="AF1172" s="98">
        <v>4063.2</v>
      </c>
      <c r="AG1172" s="98">
        <f t="shared" si="667"/>
        <v>29.109999999999673</v>
      </c>
      <c r="AH1172" s="99">
        <v>672.5</v>
      </c>
      <c r="AI1172" s="100">
        <f t="shared" si="668"/>
        <v>2732502</v>
      </c>
      <c r="AJ1172" s="100">
        <f>(2.6*AH1172)*2</f>
        <v>3497</v>
      </c>
      <c r="AK1172" s="100">
        <v>0</v>
      </c>
      <c r="AL1172" s="100"/>
      <c r="AM1172" s="100">
        <v>11433</v>
      </c>
      <c r="AN1172" s="100">
        <v>0</v>
      </c>
      <c r="AO1172" s="100">
        <v>0</v>
      </c>
      <c r="AP1172" s="100">
        <f t="shared" si="692"/>
        <v>137372</v>
      </c>
      <c r="AQ1172" s="101">
        <f t="shared" si="704"/>
        <v>2884804</v>
      </c>
      <c r="AR1172" s="101">
        <v>0</v>
      </c>
      <c r="AS1172" s="101">
        <v>0</v>
      </c>
      <c r="AT1172" s="102" t="s">
        <v>33</v>
      </c>
      <c r="AU1172" s="109" t="s">
        <v>118</v>
      </c>
      <c r="AV1172" s="100">
        <v>0</v>
      </c>
      <c r="AW1172" s="105">
        <v>0</v>
      </c>
      <c r="AX1172" s="216">
        <f t="shared" si="707"/>
        <v>0.71643039968496935</v>
      </c>
      <c r="AY1172" s="217">
        <f t="shared" si="708"/>
        <v>19577</v>
      </c>
      <c r="AZ1172" s="107"/>
      <c r="BA1172" s="94">
        <v>45720.71875</v>
      </c>
      <c r="BB1172" s="94">
        <v>45720.75</v>
      </c>
      <c r="BC1172" s="94">
        <v>45720.75</v>
      </c>
      <c r="BD1172" s="94">
        <v>45720.871527777781</v>
      </c>
      <c r="BE1172" s="95">
        <f t="shared" si="698"/>
        <v>0.15277777778101154</v>
      </c>
      <c r="BF1172" s="95">
        <v>1.1111111111111112E-2</v>
      </c>
      <c r="BG1172" s="95">
        <v>2.013888888888889E-2</v>
      </c>
      <c r="BH1172" s="95">
        <f t="shared" si="709"/>
        <v>3.125E-2</v>
      </c>
      <c r="BI1172" s="95">
        <f t="shared" si="709"/>
        <v>0</v>
      </c>
      <c r="BJ1172" s="95">
        <f t="shared" si="709"/>
        <v>0.12152777778101154</v>
      </c>
      <c r="BK1172" s="95">
        <f t="shared" si="710"/>
        <v>0.12152777778101154</v>
      </c>
      <c r="BL1172" s="95">
        <f t="shared" si="711"/>
        <v>9.0277777781011537E-2</v>
      </c>
      <c r="BM1172" s="95" t="str">
        <f t="shared" si="712"/>
        <v>00:00</v>
      </c>
      <c r="BN1172" s="110"/>
    </row>
    <row r="1173" spans="1:67" s="8" customFormat="1" ht="12.75" customHeight="1" x14ac:dyDescent="0.25">
      <c r="A1173" s="150">
        <v>1080</v>
      </c>
      <c r="B1173" s="150">
        <v>14</v>
      </c>
      <c r="C1173" s="90">
        <v>16</v>
      </c>
      <c r="D1173" s="111" t="s">
        <v>148</v>
      </c>
      <c r="E1173" s="210" t="s">
        <v>1113</v>
      </c>
      <c r="F1173" s="150" t="s">
        <v>19</v>
      </c>
      <c r="G1173" s="150" t="s">
        <v>17</v>
      </c>
      <c r="H1173" s="150" t="s">
        <v>150</v>
      </c>
      <c r="I1173" s="150" t="s">
        <v>825</v>
      </c>
      <c r="J1173" s="151">
        <v>45719</v>
      </c>
      <c r="K1173" s="135" t="s">
        <v>122</v>
      </c>
      <c r="L1173" s="135">
        <v>461000792</v>
      </c>
      <c r="M1173" s="151">
        <v>45721</v>
      </c>
      <c r="N1173" s="152">
        <v>45720.958333333336</v>
      </c>
      <c r="O1173" s="152">
        <v>45720.958333333336</v>
      </c>
      <c r="P1173" s="152">
        <v>45720.961805555555</v>
      </c>
      <c r="Q1173" s="152">
        <v>45721.145833333336</v>
      </c>
      <c r="R1173" s="152" t="s">
        <v>118</v>
      </c>
      <c r="S1173" s="152" t="s">
        <v>118</v>
      </c>
      <c r="T1173" s="152">
        <v>45721.1875</v>
      </c>
      <c r="U1173" s="152">
        <v>45721.32708333333</v>
      </c>
      <c r="V1173" s="219">
        <f t="shared" si="705"/>
        <v>0.1875</v>
      </c>
      <c r="W1173" s="203">
        <v>0.20833333333333334</v>
      </c>
      <c r="X1173" s="219" t="str">
        <f t="shared" si="706"/>
        <v>00:00</v>
      </c>
      <c r="Y1173" s="96">
        <v>0</v>
      </c>
      <c r="Z1173" s="96">
        <v>58</v>
      </c>
      <c r="AA1173" s="96">
        <f t="shared" si="703"/>
        <v>58</v>
      </c>
      <c r="AB1173" s="97">
        <f t="shared" si="665"/>
        <v>0</v>
      </c>
      <c r="AC1173" s="97">
        <f t="shared" si="666"/>
        <v>4001.6800000000003</v>
      </c>
      <c r="AD1173" s="98">
        <v>4001.68</v>
      </c>
      <c r="AE1173" s="98">
        <v>4043.7</v>
      </c>
      <c r="AF1173" s="98">
        <v>4050.6</v>
      </c>
      <c r="AG1173" s="98">
        <f t="shared" si="667"/>
        <v>48.920000000000073</v>
      </c>
      <c r="AH1173" s="99">
        <v>672.5</v>
      </c>
      <c r="AI1173" s="100">
        <f t="shared" si="668"/>
        <v>2724028.5</v>
      </c>
      <c r="AJ1173" s="100">
        <f>(1*AH1173)*2</f>
        <v>1345</v>
      </c>
      <c r="AK1173" s="100">
        <v>0</v>
      </c>
      <c r="AL1173" s="100">
        <v>0</v>
      </c>
      <c r="AM1173" s="100">
        <v>0</v>
      </c>
      <c r="AN1173" s="100">
        <v>0</v>
      </c>
      <c r="AO1173" s="100">
        <v>0</v>
      </c>
      <c r="AP1173" s="100">
        <f t="shared" si="692"/>
        <v>136269</v>
      </c>
      <c r="AQ1173" s="101">
        <f t="shared" si="704"/>
        <v>2861643</v>
      </c>
      <c r="AR1173" s="101">
        <v>0</v>
      </c>
      <c r="AS1173" s="101">
        <v>0</v>
      </c>
      <c r="AT1173" s="102" t="s">
        <v>33</v>
      </c>
      <c r="AU1173" s="109" t="s">
        <v>118</v>
      </c>
      <c r="AV1173" s="100">
        <v>0</v>
      </c>
      <c r="AW1173" s="105">
        <v>0</v>
      </c>
      <c r="AX1173" s="216">
        <f t="shared" si="707"/>
        <v>1.2077223127437928</v>
      </c>
      <c r="AY1173" s="217">
        <f t="shared" si="708"/>
        <v>32899</v>
      </c>
      <c r="AZ1173" s="107"/>
      <c r="BA1173" s="94">
        <v>45720.958333333336</v>
      </c>
      <c r="BB1173" s="94">
        <v>45720.961805555555</v>
      </c>
      <c r="BC1173" s="94">
        <v>45720.961805555555</v>
      </c>
      <c r="BD1173" s="94">
        <v>45721.09375</v>
      </c>
      <c r="BE1173" s="95">
        <f t="shared" si="698"/>
        <v>0.13541666666424135</v>
      </c>
      <c r="BF1173" s="95">
        <v>0</v>
      </c>
      <c r="BG1173" s="95">
        <v>0</v>
      </c>
      <c r="BH1173" s="95">
        <f t="shared" si="709"/>
        <v>3.4722222189884633E-3</v>
      </c>
      <c r="BI1173" s="95">
        <f t="shared" si="709"/>
        <v>0</v>
      </c>
      <c r="BJ1173" s="95">
        <f t="shared" si="709"/>
        <v>0.13194444444525288</v>
      </c>
      <c r="BK1173" s="95">
        <f t="shared" si="710"/>
        <v>0.13194444444525288</v>
      </c>
      <c r="BL1173" s="95">
        <f t="shared" si="711"/>
        <v>0.13194444444525288</v>
      </c>
      <c r="BM1173" s="95" t="str">
        <f t="shared" si="712"/>
        <v>00:00</v>
      </c>
      <c r="BN1173" s="110"/>
    </row>
    <row r="1174" spans="1:67" s="8" customFormat="1" ht="12.75" customHeight="1" x14ac:dyDescent="0.25">
      <c r="A1174" s="150">
        <v>1081</v>
      </c>
      <c r="B1174" s="150">
        <v>15</v>
      </c>
      <c r="C1174" s="90">
        <v>17</v>
      </c>
      <c r="D1174" s="111" t="s">
        <v>148</v>
      </c>
      <c r="E1174" s="210" t="s">
        <v>1113</v>
      </c>
      <c r="F1174" s="150" t="s">
        <v>19</v>
      </c>
      <c r="G1174" s="150" t="s">
        <v>17</v>
      </c>
      <c r="H1174" s="150" t="s">
        <v>150</v>
      </c>
      <c r="I1174" s="150" t="s">
        <v>827</v>
      </c>
      <c r="J1174" s="151">
        <v>45720</v>
      </c>
      <c r="K1174" s="135" t="s">
        <v>117</v>
      </c>
      <c r="L1174" s="135">
        <v>461000793</v>
      </c>
      <c r="M1174" s="151">
        <v>45721</v>
      </c>
      <c r="N1174" s="152">
        <v>45721.145833333336</v>
      </c>
      <c r="O1174" s="152">
        <v>45721.145833333336</v>
      </c>
      <c r="P1174" s="152">
        <v>45721.15625</v>
      </c>
      <c r="Q1174" s="152">
        <v>45721.333333333336</v>
      </c>
      <c r="R1174" s="152" t="s">
        <v>118</v>
      </c>
      <c r="S1174" s="152" t="s">
        <v>118</v>
      </c>
      <c r="T1174" s="152">
        <v>45721.375</v>
      </c>
      <c r="U1174" s="152">
        <v>45721.5</v>
      </c>
      <c r="V1174" s="219">
        <f t="shared" si="705"/>
        <v>0.1875</v>
      </c>
      <c r="W1174" s="203">
        <v>0.20833333333333334</v>
      </c>
      <c r="X1174" s="219" t="str">
        <f t="shared" si="706"/>
        <v>00:00</v>
      </c>
      <c r="Y1174" s="96">
        <v>5</v>
      </c>
      <c r="Z1174" s="96">
        <v>53</v>
      </c>
      <c r="AA1174" s="96">
        <f t="shared" si="703"/>
        <v>58</v>
      </c>
      <c r="AB1174" s="97">
        <f t="shared" si="665"/>
        <v>344.71810344827588</v>
      </c>
      <c r="AC1174" s="97">
        <f t="shared" si="666"/>
        <v>3654.0118965517245</v>
      </c>
      <c r="AD1174" s="98">
        <v>3998.73</v>
      </c>
      <c r="AE1174" s="98">
        <v>4040.2</v>
      </c>
      <c r="AF1174" s="98">
        <v>4048.4</v>
      </c>
      <c r="AG1174" s="98">
        <f t="shared" si="667"/>
        <v>49.670000000000073</v>
      </c>
      <c r="AH1174" s="99">
        <v>672.5</v>
      </c>
      <c r="AI1174" s="100">
        <f t="shared" si="668"/>
        <v>2722549</v>
      </c>
      <c r="AJ1174" s="100">
        <f>(0*AH1174)*2</f>
        <v>0</v>
      </c>
      <c r="AK1174" s="100">
        <v>0</v>
      </c>
      <c r="AL1174" s="100">
        <v>24140</v>
      </c>
      <c r="AM1174" s="100">
        <v>0</v>
      </c>
      <c r="AN1174" s="100">
        <v>0</v>
      </c>
      <c r="AO1174" s="100">
        <v>0</v>
      </c>
      <c r="AP1174" s="100">
        <f t="shared" si="692"/>
        <v>137335</v>
      </c>
      <c r="AQ1174" s="101">
        <f t="shared" si="704"/>
        <v>2884024</v>
      </c>
      <c r="AR1174" s="101">
        <v>0</v>
      </c>
      <c r="AS1174" s="101">
        <v>0</v>
      </c>
      <c r="AT1174" s="102" t="s">
        <v>33</v>
      </c>
      <c r="AU1174" s="109">
        <v>4</v>
      </c>
      <c r="AV1174" s="100">
        <f>9.47-6.97</f>
        <v>2.5000000000000009</v>
      </c>
      <c r="AW1174" s="105">
        <v>0</v>
      </c>
      <c r="AX1174" s="216">
        <f t="shared" si="707"/>
        <v>1.2269044560814166</v>
      </c>
      <c r="AY1174" s="217">
        <f t="shared" si="708"/>
        <v>33404</v>
      </c>
      <c r="AZ1174" s="107"/>
      <c r="BA1174" s="94">
        <v>45721.145833333336</v>
      </c>
      <c r="BB1174" s="94">
        <v>45721.15625</v>
      </c>
      <c r="BC1174" s="94">
        <v>45721.15625</v>
      </c>
      <c r="BD1174" s="94">
        <v>45721.315972222219</v>
      </c>
      <c r="BE1174" s="95">
        <f t="shared" si="698"/>
        <v>0.17013888888322981</v>
      </c>
      <c r="BF1174" s="95">
        <v>0</v>
      </c>
      <c r="BG1174" s="95">
        <v>4.791666666666667E-2</v>
      </c>
      <c r="BH1174" s="95">
        <f t="shared" si="709"/>
        <v>1.0416666664241347E-2</v>
      </c>
      <c r="BI1174" s="95">
        <f t="shared" si="709"/>
        <v>0</v>
      </c>
      <c r="BJ1174" s="95">
        <f t="shared" si="709"/>
        <v>0.15972222221898846</v>
      </c>
      <c r="BK1174" s="95">
        <f t="shared" si="710"/>
        <v>0.15972222221898846</v>
      </c>
      <c r="BL1174" s="95">
        <f t="shared" si="711"/>
        <v>0.1118055555523218</v>
      </c>
      <c r="BM1174" s="95" t="str">
        <f t="shared" si="712"/>
        <v>00:00</v>
      </c>
      <c r="BN1174" s="110"/>
    </row>
    <row r="1175" spans="1:67" s="8" customFormat="1" ht="12.75" customHeight="1" x14ac:dyDescent="0.25">
      <c r="A1175" s="150">
        <v>1082</v>
      </c>
      <c r="B1175" s="150">
        <v>16</v>
      </c>
      <c r="C1175" s="90">
        <v>4</v>
      </c>
      <c r="D1175" s="111" t="s">
        <v>113</v>
      </c>
      <c r="E1175" s="210" t="s">
        <v>1111</v>
      </c>
      <c r="F1175" s="150" t="s">
        <v>41</v>
      </c>
      <c r="G1175" s="150" t="s">
        <v>12</v>
      </c>
      <c r="H1175" s="150" t="s">
        <v>115</v>
      </c>
      <c r="I1175" s="150" t="s">
        <v>818</v>
      </c>
      <c r="J1175" s="151">
        <v>45721</v>
      </c>
      <c r="K1175" s="135" t="s">
        <v>117</v>
      </c>
      <c r="L1175" s="135">
        <v>282001140</v>
      </c>
      <c r="M1175" s="151">
        <v>45722</v>
      </c>
      <c r="N1175" s="152">
        <v>45721.583333333336</v>
      </c>
      <c r="O1175" s="152">
        <v>45721.583333333336</v>
      </c>
      <c r="P1175" s="152">
        <v>45721.586805555555</v>
      </c>
      <c r="Q1175" s="152">
        <v>45721.791666666664</v>
      </c>
      <c r="R1175" s="152" t="s">
        <v>118</v>
      </c>
      <c r="S1175" s="152" t="s">
        <v>118</v>
      </c>
      <c r="T1175" s="152">
        <v>45722.055555555555</v>
      </c>
      <c r="U1175" s="152">
        <v>45722.176388888889</v>
      </c>
      <c r="V1175" s="219">
        <f t="shared" si="705"/>
        <v>0.20833333332848269</v>
      </c>
      <c r="W1175" s="203">
        <v>0.20833333333333334</v>
      </c>
      <c r="X1175" s="219" t="str">
        <f t="shared" si="706"/>
        <v>00:00</v>
      </c>
      <c r="Y1175" s="96">
        <v>0</v>
      </c>
      <c r="Z1175" s="96">
        <v>59</v>
      </c>
      <c r="AA1175" s="96">
        <f t="shared" si="703"/>
        <v>59</v>
      </c>
      <c r="AB1175" s="97">
        <f t="shared" si="665"/>
        <v>0</v>
      </c>
      <c r="AC1175" s="97">
        <f t="shared" si="666"/>
        <v>4030.29</v>
      </c>
      <c r="AD1175" s="98">
        <v>4030.29</v>
      </c>
      <c r="AE1175" s="98">
        <v>4104.1000000000004</v>
      </c>
      <c r="AF1175" s="98">
        <v>4115.6000000000004</v>
      </c>
      <c r="AG1175" s="98">
        <f t="shared" si="667"/>
        <v>85.3100000000004</v>
      </c>
      <c r="AH1175" s="99">
        <v>1586.7</v>
      </c>
      <c r="AI1175" s="100">
        <f t="shared" si="668"/>
        <v>6530222.5200000005</v>
      </c>
      <c r="AJ1175" s="100">
        <f>(1.4*AH1175)*2</f>
        <v>4442.76</v>
      </c>
      <c r="AK1175" s="100">
        <v>0</v>
      </c>
      <c r="AL1175" s="100">
        <v>0</v>
      </c>
      <c r="AM1175" s="100">
        <v>0</v>
      </c>
      <c r="AN1175" s="100">
        <v>0</v>
      </c>
      <c r="AO1175" s="100">
        <f>IFERROR(AF1175*20+(((AJ1175/AH1175)/2)*20),0)</f>
        <v>82340</v>
      </c>
      <c r="AP1175" s="100">
        <f t="shared" si="692"/>
        <v>330851</v>
      </c>
      <c r="AQ1175" s="101">
        <f t="shared" si="704"/>
        <v>6947857</v>
      </c>
      <c r="AR1175" s="101">
        <v>0</v>
      </c>
      <c r="AS1175" s="101">
        <v>0</v>
      </c>
      <c r="AT1175" s="102" t="s">
        <v>33</v>
      </c>
      <c r="AU1175" s="109" t="s">
        <v>118</v>
      </c>
      <c r="AV1175" s="100">
        <v>0</v>
      </c>
      <c r="AW1175" s="105">
        <v>0</v>
      </c>
      <c r="AX1175" s="216">
        <f t="shared" si="707"/>
        <v>2.0728447856934689</v>
      </c>
      <c r="AY1175" s="217">
        <f t="shared" si="708"/>
        <v>135362</v>
      </c>
      <c r="AZ1175" s="107"/>
      <c r="BA1175" s="94">
        <v>45721.583333333336</v>
      </c>
      <c r="BB1175" s="94">
        <v>45721.586805555555</v>
      </c>
      <c r="BC1175" s="94">
        <v>45721.586805555555</v>
      </c>
      <c r="BD1175" s="94">
        <v>45721.722916666666</v>
      </c>
      <c r="BE1175" s="95">
        <f t="shared" si="698"/>
        <v>0.13958333332993789</v>
      </c>
      <c r="BF1175" s="95">
        <v>0</v>
      </c>
      <c r="BG1175" s="95">
        <v>0</v>
      </c>
      <c r="BH1175" s="95">
        <f t="shared" si="709"/>
        <v>3.4722222189884633E-3</v>
      </c>
      <c r="BI1175" s="95">
        <f t="shared" si="709"/>
        <v>0</v>
      </c>
      <c r="BJ1175" s="95">
        <f t="shared" si="709"/>
        <v>0.13611111111094942</v>
      </c>
      <c r="BK1175" s="95">
        <f t="shared" si="710"/>
        <v>0.13611111111094942</v>
      </c>
      <c r="BL1175" s="95">
        <f t="shared" si="711"/>
        <v>0.13611111111094942</v>
      </c>
      <c r="BM1175" s="95" t="str">
        <f t="shared" si="712"/>
        <v>00:00</v>
      </c>
      <c r="BN1175" s="110"/>
    </row>
    <row r="1176" spans="1:67" s="8" customFormat="1" ht="12.75" customHeight="1" x14ac:dyDescent="0.25">
      <c r="A1176" s="150">
        <v>1083</v>
      </c>
      <c r="B1176" s="150">
        <v>17</v>
      </c>
      <c r="C1176" s="90">
        <v>18</v>
      </c>
      <c r="D1176" s="111" t="s">
        <v>148</v>
      </c>
      <c r="E1176" s="210" t="s">
        <v>1113</v>
      </c>
      <c r="F1176" s="150" t="s">
        <v>19</v>
      </c>
      <c r="G1176" s="150" t="s">
        <v>17</v>
      </c>
      <c r="H1176" s="150" t="s">
        <v>150</v>
      </c>
      <c r="I1176" s="150" t="s">
        <v>1122</v>
      </c>
      <c r="J1176" s="151">
        <v>45722</v>
      </c>
      <c r="K1176" s="135" t="s">
        <v>122</v>
      </c>
      <c r="L1176" s="135">
        <v>461000794</v>
      </c>
      <c r="M1176" s="151">
        <v>45722</v>
      </c>
      <c r="N1176" s="152">
        <v>45722.326388888891</v>
      </c>
      <c r="O1176" s="152">
        <v>45722.326388888891</v>
      </c>
      <c r="P1176" s="152">
        <v>45722.333333333336</v>
      </c>
      <c r="Q1176" s="152">
        <v>45722.520833333336</v>
      </c>
      <c r="R1176" s="152" t="s">
        <v>118</v>
      </c>
      <c r="S1176" s="152" t="s">
        <v>118</v>
      </c>
      <c r="T1176" s="152">
        <v>45722.541666666664</v>
      </c>
      <c r="U1176" s="152">
        <v>45722.65625</v>
      </c>
      <c r="V1176" s="219">
        <f t="shared" si="705"/>
        <v>0.19444444444525288</v>
      </c>
      <c r="W1176" s="203">
        <v>0.20833333333333334</v>
      </c>
      <c r="X1176" s="219" t="str">
        <f t="shared" si="706"/>
        <v>00:00</v>
      </c>
      <c r="Y1176" s="96">
        <v>0</v>
      </c>
      <c r="Z1176" s="96">
        <v>58</v>
      </c>
      <c r="AA1176" s="96">
        <f t="shared" si="703"/>
        <v>58</v>
      </c>
      <c r="AB1176" s="97">
        <f t="shared" si="665"/>
        <v>0</v>
      </c>
      <c r="AC1176" s="97">
        <f t="shared" si="666"/>
        <v>4058.5299999999997</v>
      </c>
      <c r="AD1176" s="98">
        <v>4058.53</v>
      </c>
      <c r="AE1176" s="98">
        <v>4030.2</v>
      </c>
      <c r="AF1176" s="98">
        <v>4068</v>
      </c>
      <c r="AG1176" s="98">
        <f t="shared" si="667"/>
        <v>9.4699999999997999</v>
      </c>
      <c r="AH1176" s="99">
        <v>672.5</v>
      </c>
      <c r="AI1176" s="100">
        <f t="shared" si="668"/>
        <v>2735730</v>
      </c>
      <c r="AJ1176" s="100">
        <f>(0*AH1176)*2</f>
        <v>0</v>
      </c>
      <c r="AK1176" s="100">
        <v>0</v>
      </c>
      <c r="AL1176" s="100">
        <v>24140</v>
      </c>
      <c r="AM1176" s="100">
        <v>0</v>
      </c>
      <c r="AN1176" s="100">
        <v>0</v>
      </c>
      <c r="AO1176" s="100">
        <v>0</v>
      </c>
      <c r="AP1176" s="100">
        <f t="shared" si="692"/>
        <v>137994</v>
      </c>
      <c r="AQ1176" s="101">
        <f t="shared" si="704"/>
        <v>2897864</v>
      </c>
      <c r="AR1176" s="101">
        <v>0</v>
      </c>
      <c r="AS1176" s="101">
        <v>0</v>
      </c>
      <c r="AT1176" s="102" t="s">
        <v>33</v>
      </c>
      <c r="AU1176" s="109">
        <v>20</v>
      </c>
      <c r="AV1176" s="100">
        <f>46.11-32.61</f>
        <v>13.5</v>
      </c>
      <c r="AW1176" s="105">
        <v>0</v>
      </c>
      <c r="AX1176" s="216">
        <f t="shared" si="707"/>
        <v>0.23279252704030973</v>
      </c>
      <c r="AY1176" s="217">
        <f t="shared" si="708"/>
        <v>6369</v>
      </c>
      <c r="AZ1176" s="107"/>
      <c r="BA1176" s="94">
        <v>45722.326388888891</v>
      </c>
      <c r="BB1176" s="94">
        <v>45722.333333333336</v>
      </c>
      <c r="BC1176" s="94">
        <v>45722.333333333336</v>
      </c>
      <c r="BD1176" s="94">
        <v>45722.496527777781</v>
      </c>
      <c r="BE1176" s="95">
        <f t="shared" si="698"/>
        <v>0.17013888889050577</v>
      </c>
      <c r="BF1176" s="95">
        <v>0</v>
      </c>
      <c r="BG1176" s="95">
        <v>2.0833333333333332E-2</v>
      </c>
      <c r="BH1176" s="95">
        <f t="shared" si="709"/>
        <v>6.9444444452528842E-3</v>
      </c>
      <c r="BI1176" s="95">
        <f t="shared" si="709"/>
        <v>0</v>
      </c>
      <c r="BJ1176" s="95">
        <f t="shared" si="709"/>
        <v>0.16319444444525288</v>
      </c>
      <c r="BK1176" s="95">
        <f t="shared" si="710"/>
        <v>0.16319444444525288</v>
      </c>
      <c r="BL1176" s="95">
        <f t="shared" si="711"/>
        <v>0.14236111111191954</v>
      </c>
      <c r="BM1176" s="95" t="str">
        <f t="shared" si="712"/>
        <v>00:00</v>
      </c>
      <c r="BN1176" s="110"/>
    </row>
    <row r="1177" spans="1:67" s="8" customFormat="1" ht="12.75" customHeight="1" x14ac:dyDescent="0.25">
      <c r="A1177" s="150">
        <v>1084</v>
      </c>
      <c r="B1177" s="150">
        <v>18</v>
      </c>
      <c r="C1177" s="90">
        <v>5</v>
      </c>
      <c r="D1177" s="111" t="s">
        <v>113</v>
      </c>
      <c r="E1177" s="210" t="s">
        <v>1079</v>
      </c>
      <c r="F1177" s="150" t="s">
        <v>27</v>
      </c>
      <c r="G1177" s="150" t="s">
        <v>12</v>
      </c>
      <c r="H1177" s="150" t="s">
        <v>115</v>
      </c>
      <c r="I1177" s="150" t="s">
        <v>819</v>
      </c>
      <c r="J1177" s="151">
        <v>45722</v>
      </c>
      <c r="K1177" s="135" t="s">
        <v>117</v>
      </c>
      <c r="L1177" s="135">
        <v>282001141</v>
      </c>
      <c r="M1177" s="151">
        <v>45723</v>
      </c>
      <c r="N1177" s="152">
        <v>45722.506944444445</v>
      </c>
      <c r="O1177" s="152">
        <v>45722.506944444445</v>
      </c>
      <c r="P1177" s="152">
        <v>45722.520833333336</v>
      </c>
      <c r="Q1177" s="152">
        <v>45722.697916666664</v>
      </c>
      <c r="R1177" s="152" t="s">
        <v>118</v>
      </c>
      <c r="S1177" s="152" t="s">
        <v>118</v>
      </c>
      <c r="T1177" s="152">
        <v>45722.75</v>
      </c>
      <c r="U1177" s="152">
        <v>45722.8125</v>
      </c>
      <c r="V1177" s="219">
        <f t="shared" si="705"/>
        <v>0.19097222221898846</v>
      </c>
      <c r="W1177" s="203">
        <v>0.20833333333333334</v>
      </c>
      <c r="X1177" s="219" t="str">
        <f t="shared" si="706"/>
        <v>00:00</v>
      </c>
      <c r="Y1177" s="96">
        <v>0</v>
      </c>
      <c r="Z1177" s="96">
        <v>59</v>
      </c>
      <c r="AA1177" s="96">
        <f t="shared" si="703"/>
        <v>59</v>
      </c>
      <c r="AB1177" s="97">
        <f t="shared" ref="AB1177:AB1240" si="713">+AD1177/AA1177*Y1177</f>
        <v>0</v>
      </c>
      <c r="AC1177" s="97">
        <f t="shared" ref="AC1177:AC1240" si="714">+AD1177/AA1177*Z1177</f>
        <v>4019.7700000000004</v>
      </c>
      <c r="AD1177" s="98">
        <v>4019.77</v>
      </c>
      <c r="AE1177" s="98">
        <v>4105.6000000000004</v>
      </c>
      <c r="AF1177" s="98">
        <v>4109.3999999999996</v>
      </c>
      <c r="AG1177" s="98">
        <f t="shared" ref="AG1177:AG1240" si="715">+AF1177-AD1177</f>
        <v>89.629999999999654</v>
      </c>
      <c r="AH1177" s="99">
        <v>1586.7</v>
      </c>
      <c r="AI1177" s="100">
        <f t="shared" ref="AI1177:AI1240" si="716">+AF1177*AH1177</f>
        <v>6520384.9799999995</v>
      </c>
      <c r="AJ1177" s="100">
        <f>(0.2*AH1177)*2</f>
        <v>634.68000000000006</v>
      </c>
      <c r="AK1177" s="100">
        <v>0</v>
      </c>
      <c r="AL1177" s="100">
        <v>0</v>
      </c>
      <c r="AM1177" s="100">
        <v>0</v>
      </c>
      <c r="AN1177" s="100">
        <v>0</v>
      </c>
      <c r="AO1177" s="100">
        <f>IFERROR(AF1177*20+(((AJ1177/AH1177)/2)*20),0)</f>
        <v>82192</v>
      </c>
      <c r="AP1177" s="100">
        <f t="shared" si="692"/>
        <v>330161</v>
      </c>
      <c r="AQ1177" s="101">
        <f t="shared" si="704"/>
        <v>6933373</v>
      </c>
      <c r="AR1177" s="101">
        <v>0</v>
      </c>
      <c r="AS1177" s="101">
        <v>0</v>
      </c>
      <c r="AT1177" s="102" t="s">
        <v>33</v>
      </c>
      <c r="AU1177" s="109" t="s">
        <v>118</v>
      </c>
      <c r="AV1177" s="100">
        <v>0</v>
      </c>
      <c r="AW1177" s="105">
        <v>0</v>
      </c>
      <c r="AX1177" s="216">
        <f t="shared" si="707"/>
        <v>2.1810969971285266</v>
      </c>
      <c r="AY1177" s="217">
        <f t="shared" si="708"/>
        <v>142216</v>
      </c>
      <c r="AZ1177" s="107"/>
      <c r="BA1177" s="94">
        <v>45722.506944444445</v>
      </c>
      <c r="BB1177" s="94">
        <v>45722.520833333336</v>
      </c>
      <c r="BC1177" s="94">
        <v>45722.534722222219</v>
      </c>
      <c r="BD1177" s="94">
        <v>45722.661111111112</v>
      </c>
      <c r="BE1177" s="95">
        <f t="shared" si="698"/>
        <v>0.15416666666715173</v>
      </c>
      <c r="BF1177" s="95">
        <v>1.3888888888888888E-2</v>
      </c>
      <c r="BG1177" s="95">
        <v>0</v>
      </c>
      <c r="BH1177" s="95">
        <f t="shared" si="709"/>
        <v>1.3888888890505768E-2</v>
      </c>
      <c r="BI1177" s="95">
        <f t="shared" si="709"/>
        <v>1.3888888883229811E-2</v>
      </c>
      <c r="BJ1177" s="95">
        <f t="shared" si="709"/>
        <v>0.12638888889341615</v>
      </c>
      <c r="BK1177" s="95">
        <f t="shared" si="710"/>
        <v>0.14027777777664596</v>
      </c>
      <c r="BL1177" s="95">
        <f t="shared" si="711"/>
        <v>0.12638888888775707</v>
      </c>
      <c r="BM1177" s="95" t="str">
        <f t="shared" si="712"/>
        <v>00:00</v>
      </c>
      <c r="BN1177" s="110"/>
    </row>
    <row r="1178" spans="1:67" s="8" customFormat="1" ht="12.75" customHeight="1" x14ac:dyDescent="0.25">
      <c r="A1178" s="115">
        <v>1085</v>
      </c>
      <c r="B1178" s="115">
        <v>19</v>
      </c>
      <c r="C1178" s="90">
        <v>17</v>
      </c>
      <c r="D1178" s="115" t="s">
        <v>148</v>
      </c>
      <c r="E1178" s="210" t="s">
        <v>1109</v>
      </c>
      <c r="F1178" s="115" t="s">
        <v>16</v>
      </c>
      <c r="G1178" s="115" t="s">
        <v>17</v>
      </c>
      <c r="H1178" s="115" t="s">
        <v>150</v>
      </c>
      <c r="I1178" s="115" t="s">
        <v>833</v>
      </c>
      <c r="J1178" s="117">
        <v>45722</v>
      </c>
      <c r="K1178" s="116" t="s">
        <v>122</v>
      </c>
      <c r="L1178" s="116">
        <v>461000795</v>
      </c>
      <c r="M1178" s="117">
        <v>45723</v>
      </c>
      <c r="N1178" s="118">
        <v>45722.75</v>
      </c>
      <c r="O1178" s="118">
        <v>45722.75</v>
      </c>
      <c r="P1178" s="118">
        <v>45722.753472222219</v>
      </c>
      <c r="Q1178" s="118">
        <v>45722.916666666664</v>
      </c>
      <c r="R1178" s="118" t="s">
        <v>118</v>
      </c>
      <c r="S1178" s="118" t="s">
        <v>118</v>
      </c>
      <c r="T1178" s="118">
        <v>45723.090277777781</v>
      </c>
      <c r="U1178" s="118">
        <v>45723.256944444445</v>
      </c>
      <c r="V1178" s="119">
        <f t="shared" si="705"/>
        <v>0.16666666666424135</v>
      </c>
      <c r="W1178" s="185">
        <v>0.20833333333333334</v>
      </c>
      <c r="X1178" s="119" t="str">
        <f t="shared" si="706"/>
        <v>00:00</v>
      </c>
      <c r="Y1178" s="96">
        <v>0</v>
      </c>
      <c r="Z1178" s="96">
        <v>50</v>
      </c>
      <c r="AA1178" s="96">
        <f t="shared" si="703"/>
        <v>50</v>
      </c>
      <c r="AB1178" s="97">
        <f t="shared" si="713"/>
        <v>0</v>
      </c>
      <c r="AC1178" s="97">
        <f t="shared" si="714"/>
        <v>3480.8999999999996</v>
      </c>
      <c r="AD1178" s="98">
        <f>4101.19-620.29</f>
        <v>3480.8999999999996</v>
      </c>
      <c r="AE1178" s="98">
        <f>4113.8-629.4</f>
        <v>3484.4</v>
      </c>
      <c r="AF1178" s="98">
        <f>4128.2-631.4</f>
        <v>3496.7999999999997</v>
      </c>
      <c r="AG1178" s="98">
        <f t="shared" si="715"/>
        <v>15.900000000000091</v>
      </c>
      <c r="AH1178" s="99">
        <v>672.5</v>
      </c>
      <c r="AI1178" s="100">
        <f t="shared" si="716"/>
        <v>2351598</v>
      </c>
      <c r="AJ1178" s="100">
        <f>(0*AH1178)*2</f>
        <v>0</v>
      </c>
      <c r="AK1178" s="100">
        <v>0</v>
      </c>
      <c r="AL1178" s="100">
        <v>24290</v>
      </c>
      <c r="AM1178" s="100">
        <v>0</v>
      </c>
      <c r="AN1178" s="100">
        <v>0</v>
      </c>
      <c r="AO1178" s="100">
        <v>0</v>
      </c>
      <c r="AP1178" s="100">
        <f t="shared" si="692"/>
        <v>118795</v>
      </c>
      <c r="AQ1178" s="101">
        <f t="shared" si="704"/>
        <v>2494683</v>
      </c>
      <c r="AR1178" s="101">
        <v>0</v>
      </c>
      <c r="AS1178" s="101">
        <v>0</v>
      </c>
      <c r="AT1178" s="137" t="s">
        <v>33</v>
      </c>
      <c r="AU1178" s="120">
        <v>7</v>
      </c>
      <c r="AV1178" s="121">
        <f>17.8-12.8</f>
        <v>5</v>
      </c>
      <c r="AW1178" s="105">
        <v>0</v>
      </c>
      <c r="AX1178" s="140">
        <f>IFERROR(((AG1178+AG1179)/(AF1178+AF1179))*100, "")</f>
        <v>0.65428031587617141</v>
      </c>
      <c r="AY1178" s="141">
        <f>ROUNDUP((AG1178+AG1179)*AH1178,0)</f>
        <v>18165</v>
      </c>
      <c r="AZ1178" s="107"/>
      <c r="BA1178" s="118">
        <v>45722.75</v>
      </c>
      <c r="BB1178" s="118">
        <v>45722.753472222219</v>
      </c>
      <c r="BC1178" s="118">
        <v>45722.753472222219</v>
      </c>
      <c r="BD1178" s="118">
        <v>45722.863194444442</v>
      </c>
      <c r="BE1178" s="119">
        <f t="shared" si="698"/>
        <v>0.1131944444423425</v>
      </c>
      <c r="BF1178" s="119">
        <v>0</v>
      </c>
      <c r="BG1178" s="119">
        <v>0</v>
      </c>
      <c r="BH1178" s="119">
        <f t="shared" si="709"/>
        <v>3.4722222189884633E-3</v>
      </c>
      <c r="BI1178" s="119">
        <f t="shared" si="709"/>
        <v>0</v>
      </c>
      <c r="BJ1178" s="119">
        <f t="shared" si="709"/>
        <v>0.10972222222335404</v>
      </c>
      <c r="BK1178" s="119">
        <f t="shared" si="710"/>
        <v>0.10972222222335404</v>
      </c>
      <c r="BL1178" s="119">
        <f t="shared" si="711"/>
        <v>0.10972222222335404</v>
      </c>
      <c r="BM1178" s="119" t="str">
        <f t="shared" si="712"/>
        <v>00:00</v>
      </c>
      <c r="BN1178" s="110" t="s">
        <v>1123</v>
      </c>
    </row>
    <row r="1179" spans="1:67" s="8" customFormat="1" ht="12.75" customHeight="1" x14ac:dyDescent="0.25">
      <c r="A1179" s="122"/>
      <c r="B1179" s="122"/>
      <c r="C1179" s="90">
        <v>1</v>
      </c>
      <c r="D1179" s="122"/>
      <c r="E1179" s="210" t="s">
        <v>1124</v>
      </c>
      <c r="F1179" s="122"/>
      <c r="G1179" s="122"/>
      <c r="H1179" s="122"/>
      <c r="I1179" s="122"/>
      <c r="J1179" s="124"/>
      <c r="K1179" s="123"/>
      <c r="L1179" s="123"/>
      <c r="M1179" s="124"/>
      <c r="N1179" s="125"/>
      <c r="O1179" s="125"/>
      <c r="P1179" s="125"/>
      <c r="Q1179" s="125"/>
      <c r="R1179" s="125"/>
      <c r="S1179" s="125"/>
      <c r="T1179" s="125"/>
      <c r="U1179" s="125"/>
      <c r="V1179" s="126"/>
      <c r="W1179" s="189"/>
      <c r="X1179" s="126"/>
      <c r="Y1179" s="96">
        <v>0</v>
      </c>
      <c r="Z1179" s="96">
        <v>9</v>
      </c>
      <c r="AA1179" s="96">
        <f t="shared" si="703"/>
        <v>9</v>
      </c>
      <c r="AB1179" s="97">
        <f t="shared" si="713"/>
        <v>0</v>
      </c>
      <c r="AC1179" s="97">
        <f t="shared" si="714"/>
        <v>620.29</v>
      </c>
      <c r="AD1179" s="98">
        <v>620.29</v>
      </c>
      <c r="AE1179" s="98">
        <v>629.4</v>
      </c>
      <c r="AF1179" s="98">
        <v>631.4</v>
      </c>
      <c r="AG1179" s="98">
        <f t="shared" si="715"/>
        <v>11.110000000000014</v>
      </c>
      <c r="AH1179" s="99">
        <v>672.5</v>
      </c>
      <c r="AI1179" s="100">
        <f t="shared" si="716"/>
        <v>424616.5</v>
      </c>
      <c r="AJ1179" s="100">
        <f>(0*AH1179)*2</f>
        <v>0</v>
      </c>
      <c r="AK1179" s="100">
        <v>0</v>
      </c>
      <c r="AL1179" s="100">
        <v>0</v>
      </c>
      <c r="AM1179" s="100">
        <v>0</v>
      </c>
      <c r="AN1179" s="100">
        <v>0</v>
      </c>
      <c r="AO1179" s="100">
        <v>0</v>
      </c>
      <c r="AP1179" s="100">
        <f t="shared" si="692"/>
        <v>21231</v>
      </c>
      <c r="AQ1179" s="101">
        <f t="shared" si="704"/>
        <v>445848</v>
      </c>
      <c r="AR1179" s="101">
        <v>0</v>
      </c>
      <c r="AS1179" s="101">
        <v>0</v>
      </c>
      <c r="AT1179" s="138"/>
      <c r="AU1179" s="127"/>
      <c r="AV1179" s="128"/>
      <c r="AW1179" s="105">
        <v>0</v>
      </c>
      <c r="AX1179" s="144"/>
      <c r="AY1179" s="145"/>
      <c r="AZ1179" s="107"/>
      <c r="BA1179" s="125"/>
      <c r="BB1179" s="125"/>
      <c r="BC1179" s="125"/>
      <c r="BD1179" s="125"/>
      <c r="BE1179" s="126"/>
      <c r="BF1179" s="126"/>
      <c r="BG1179" s="126"/>
      <c r="BH1179" s="126"/>
      <c r="BI1179" s="126"/>
      <c r="BJ1179" s="126"/>
      <c r="BK1179" s="126"/>
      <c r="BL1179" s="126"/>
      <c r="BM1179" s="126"/>
      <c r="BN1179" s="110" t="s">
        <v>1125</v>
      </c>
    </row>
    <row r="1180" spans="1:67" s="8" customFormat="1" ht="12.75" customHeight="1" x14ac:dyDescent="0.25">
      <c r="A1180" s="150">
        <v>1086</v>
      </c>
      <c r="B1180" s="150">
        <v>20</v>
      </c>
      <c r="C1180" s="90">
        <v>2</v>
      </c>
      <c r="D1180" s="111" t="s">
        <v>148</v>
      </c>
      <c r="E1180" s="210" t="s">
        <v>1124</v>
      </c>
      <c r="F1180" s="150" t="s">
        <v>16</v>
      </c>
      <c r="G1180" s="150" t="s">
        <v>17</v>
      </c>
      <c r="H1180" s="150" t="s">
        <v>150</v>
      </c>
      <c r="I1180" s="150" t="s">
        <v>834</v>
      </c>
      <c r="J1180" s="151">
        <v>45722</v>
      </c>
      <c r="K1180" s="135" t="s">
        <v>122</v>
      </c>
      <c r="L1180" s="135">
        <v>461000796</v>
      </c>
      <c r="M1180" s="151">
        <v>45723</v>
      </c>
      <c r="N1180" s="152">
        <v>45723.333333333336</v>
      </c>
      <c r="O1180" s="152">
        <v>45723.333333333336</v>
      </c>
      <c r="P1180" s="152">
        <v>45723.34375</v>
      </c>
      <c r="Q1180" s="152">
        <v>45723.489583333336</v>
      </c>
      <c r="R1180" s="152" t="s">
        <v>118</v>
      </c>
      <c r="S1180" s="152" t="s">
        <v>118</v>
      </c>
      <c r="T1180" s="152">
        <v>45723.541666666664</v>
      </c>
      <c r="U1180" s="152">
        <v>45723.62222222222</v>
      </c>
      <c r="V1180" s="219">
        <f t="shared" ref="V1180:V1194" si="717">+Q1180-O1180</f>
        <v>0.15625</v>
      </c>
      <c r="W1180" s="203">
        <v>0.20833333333333334</v>
      </c>
      <c r="X1180" s="219" t="str">
        <f t="shared" ref="X1180:X1194" si="718">IF(VALUE(V1180)&lt;=VALUE("05:00"),"00:00",VALUE(V1180)-VALUE("05:00"))</f>
        <v>00:00</v>
      </c>
      <c r="Y1180" s="96">
        <v>0</v>
      </c>
      <c r="Z1180" s="96">
        <v>58</v>
      </c>
      <c r="AA1180" s="96">
        <f t="shared" si="703"/>
        <v>58</v>
      </c>
      <c r="AB1180" s="97">
        <f t="shared" si="713"/>
        <v>0</v>
      </c>
      <c r="AC1180" s="97">
        <f t="shared" si="714"/>
        <v>4027.3</v>
      </c>
      <c r="AD1180" s="98">
        <v>4027.3</v>
      </c>
      <c r="AE1180" s="98">
        <v>4038.8</v>
      </c>
      <c r="AF1180" s="98">
        <v>4050.4</v>
      </c>
      <c r="AG1180" s="98">
        <f t="shared" si="715"/>
        <v>23.099999999999909</v>
      </c>
      <c r="AH1180" s="99">
        <v>672.5</v>
      </c>
      <c r="AI1180" s="100">
        <f t="shared" si="716"/>
        <v>2723894</v>
      </c>
      <c r="AJ1180" s="100">
        <f>(1.4*AH1180)*2</f>
        <v>1882.9999999999998</v>
      </c>
      <c r="AK1180" s="100">
        <v>0</v>
      </c>
      <c r="AL1180" s="100">
        <v>0</v>
      </c>
      <c r="AM1180" s="100">
        <v>0</v>
      </c>
      <c r="AN1180" s="100">
        <v>0</v>
      </c>
      <c r="AO1180" s="100">
        <v>0</v>
      </c>
      <c r="AP1180" s="100">
        <f t="shared" si="692"/>
        <v>136289</v>
      </c>
      <c r="AQ1180" s="101">
        <f t="shared" si="704"/>
        <v>2862066</v>
      </c>
      <c r="AR1180" s="101">
        <v>0</v>
      </c>
      <c r="AS1180" s="101">
        <v>0</v>
      </c>
      <c r="AT1180" s="102" t="s">
        <v>33</v>
      </c>
      <c r="AU1180" s="109" t="s">
        <v>118</v>
      </c>
      <c r="AV1180" s="100">
        <v>0</v>
      </c>
      <c r="AW1180" s="105">
        <v>0</v>
      </c>
      <c r="AX1180" s="216">
        <f t="shared" ref="AX1180:AX1193" si="719">IFERROR((AG1180/AF1180)*100, "")</f>
        <v>0.57031404305747357</v>
      </c>
      <c r="AY1180" s="217">
        <f t="shared" ref="AY1180:AY1193" si="720">ROUNDUP(AG1180*AH1180,0)</f>
        <v>15535</v>
      </c>
      <c r="AZ1180" s="107"/>
      <c r="BA1180" s="94">
        <v>45723.333333333336</v>
      </c>
      <c r="BB1180" s="94">
        <v>45723.34375</v>
      </c>
      <c r="BC1180" s="94">
        <v>45723.34375</v>
      </c>
      <c r="BD1180" s="94">
        <v>45723.46875</v>
      </c>
      <c r="BE1180" s="95">
        <f t="shared" si="698"/>
        <v>0.13541666666424135</v>
      </c>
      <c r="BF1180" s="95">
        <v>6.9444444444444441E-3</v>
      </c>
      <c r="BG1180" s="95">
        <v>0</v>
      </c>
      <c r="BH1180" s="95">
        <f t="shared" ref="BH1180:BJ1194" si="721">+BB1180-BA1180</f>
        <v>1.0416666664241347E-2</v>
      </c>
      <c r="BI1180" s="95">
        <f t="shared" si="721"/>
        <v>0</v>
      </c>
      <c r="BJ1180" s="95">
        <f t="shared" si="721"/>
        <v>0.125</v>
      </c>
      <c r="BK1180" s="95">
        <f t="shared" ref="BK1180:BK1194" si="722">+BI1180+BJ1180</f>
        <v>0.125</v>
      </c>
      <c r="BL1180" s="95">
        <f t="shared" ref="BL1180:BL1194" si="723">+BE1180-BH1180-BF1180-BG1180</f>
        <v>0.11805555555555555</v>
      </c>
      <c r="BM1180" s="95" t="str">
        <f t="shared" ref="BM1180:BM1194" si="724">IF(VALUE(BE1180)&lt;=VALUE("05:00"),"00:00",VALUE(BE1180)-VALUE("05:00"))</f>
        <v>00:00</v>
      </c>
      <c r="BN1180" s="110"/>
    </row>
    <row r="1181" spans="1:67" s="8" customFormat="1" ht="12.75" customHeight="1" x14ac:dyDescent="0.25">
      <c r="A1181" s="150">
        <v>1087</v>
      </c>
      <c r="B1181" s="150">
        <v>21</v>
      </c>
      <c r="C1181" s="90">
        <v>3</v>
      </c>
      <c r="D1181" s="111" t="s">
        <v>148</v>
      </c>
      <c r="E1181" s="210" t="s">
        <v>1124</v>
      </c>
      <c r="F1181" s="150" t="s">
        <v>16</v>
      </c>
      <c r="G1181" s="150" t="s">
        <v>17</v>
      </c>
      <c r="H1181" s="150" t="s">
        <v>150</v>
      </c>
      <c r="I1181" s="150" t="s">
        <v>837</v>
      </c>
      <c r="J1181" s="151">
        <v>45722</v>
      </c>
      <c r="K1181" s="135" t="s">
        <v>117</v>
      </c>
      <c r="L1181" s="135">
        <v>461000797</v>
      </c>
      <c r="M1181" s="151">
        <v>45723</v>
      </c>
      <c r="N1181" s="152">
        <v>45723.479166666664</v>
      </c>
      <c r="O1181" s="152">
        <v>45723.479166666664</v>
      </c>
      <c r="P1181" s="152">
        <v>45723.486111111109</v>
      </c>
      <c r="Q1181" s="152">
        <v>45723.625</v>
      </c>
      <c r="R1181" s="152" t="s">
        <v>118</v>
      </c>
      <c r="S1181" s="152" t="s">
        <v>118</v>
      </c>
      <c r="T1181" s="152">
        <v>45723.6875</v>
      </c>
      <c r="U1181" s="152">
        <v>45723.765277777777</v>
      </c>
      <c r="V1181" s="219">
        <f t="shared" si="717"/>
        <v>0.14583333333575865</v>
      </c>
      <c r="W1181" s="203">
        <v>0.20833333333333334</v>
      </c>
      <c r="X1181" s="219" t="str">
        <f t="shared" si="718"/>
        <v>00:00</v>
      </c>
      <c r="Y1181" s="96">
        <v>0</v>
      </c>
      <c r="Z1181" s="96">
        <v>58</v>
      </c>
      <c r="AA1181" s="96">
        <f t="shared" si="703"/>
        <v>58</v>
      </c>
      <c r="AB1181" s="97">
        <f t="shared" si="713"/>
        <v>0</v>
      </c>
      <c r="AC1181" s="97">
        <f t="shared" si="714"/>
        <v>4052.63</v>
      </c>
      <c r="AD1181" s="98">
        <v>4052.63</v>
      </c>
      <c r="AE1181" s="98">
        <v>4040.2</v>
      </c>
      <c r="AF1181" s="98">
        <v>4054.2</v>
      </c>
      <c r="AG1181" s="98">
        <f t="shared" si="715"/>
        <v>1.569999999999709</v>
      </c>
      <c r="AH1181" s="99">
        <v>672.5</v>
      </c>
      <c r="AI1181" s="100">
        <f t="shared" si="716"/>
        <v>2726449.5</v>
      </c>
      <c r="AJ1181" s="100">
        <f>(10.2*AH1181)*3</f>
        <v>20578.499999999996</v>
      </c>
      <c r="AK1181" s="100">
        <v>0</v>
      </c>
      <c r="AL1181" s="100">
        <v>0</v>
      </c>
      <c r="AM1181" s="100">
        <v>0</v>
      </c>
      <c r="AN1181" s="100">
        <v>0</v>
      </c>
      <c r="AO1181" s="100">
        <v>0</v>
      </c>
      <c r="AP1181" s="100">
        <f t="shared" si="692"/>
        <v>137352</v>
      </c>
      <c r="AQ1181" s="101">
        <f t="shared" si="704"/>
        <v>2884380</v>
      </c>
      <c r="AR1181" s="101">
        <v>0</v>
      </c>
      <c r="AS1181" s="101">
        <v>0</v>
      </c>
      <c r="AT1181" s="102" t="s">
        <v>33</v>
      </c>
      <c r="AU1181" s="109" t="s">
        <v>118</v>
      </c>
      <c r="AV1181" s="100">
        <v>0</v>
      </c>
      <c r="AW1181" s="105">
        <v>0</v>
      </c>
      <c r="AX1181" s="216">
        <f t="shared" si="719"/>
        <v>3.8725272556847441E-2</v>
      </c>
      <c r="AY1181" s="217">
        <f t="shared" si="720"/>
        <v>1056</v>
      </c>
      <c r="AZ1181" s="107"/>
      <c r="BA1181" s="94">
        <v>45723.479166666664</v>
      </c>
      <c r="BB1181" s="94">
        <v>45723.486111111109</v>
      </c>
      <c r="BC1181" s="94">
        <v>45723.486111111109</v>
      </c>
      <c r="BD1181" s="94">
        <v>45723.602777777778</v>
      </c>
      <c r="BE1181" s="95">
        <f t="shared" si="698"/>
        <v>0.12361111111385981</v>
      </c>
      <c r="BF1181" s="95">
        <v>0</v>
      </c>
      <c r="BG1181" s="95">
        <v>0</v>
      </c>
      <c r="BH1181" s="95">
        <f t="shared" si="721"/>
        <v>6.9444444452528842E-3</v>
      </c>
      <c r="BI1181" s="95">
        <f t="shared" si="721"/>
        <v>0</v>
      </c>
      <c r="BJ1181" s="95">
        <f t="shared" si="721"/>
        <v>0.11666666666860692</v>
      </c>
      <c r="BK1181" s="95">
        <f t="shared" si="722"/>
        <v>0.11666666666860692</v>
      </c>
      <c r="BL1181" s="95">
        <f t="shared" si="723"/>
        <v>0.11666666666860692</v>
      </c>
      <c r="BM1181" s="95" t="str">
        <f t="shared" si="724"/>
        <v>00:00</v>
      </c>
      <c r="BN1181" s="110"/>
    </row>
    <row r="1182" spans="1:67" s="8" customFormat="1" ht="12.75" customHeight="1" x14ac:dyDescent="0.25">
      <c r="A1182" s="150">
        <v>1088</v>
      </c>
      <c r="B1182" s="150">
        <v>22</v>
      </c>
      <c r="C1182" s="90">
        <v>4</v>
      </c>
      <c r="D1182" s="111" t="s">
        <v>148</v>
      </c>
      <c r="E1182" s="210" t="s">
        <v>1124</v>
      </c>
      <c r="F1182" s="150" t="s">
        <v>16</v>
      </c>
      <c r="G1182" s="150" t="s">
        <v>17</v>
      </c>
      <c r="H1182" s="150" t="s">
        <v>150</v>
      </c>
      <c r="I1182" s="150" t="s">
        <v>838</v>
      </c>
      <c r="J1182" s="151">
        <v>45722</v>
      </c>
      <c r="K1182" s="135" t="s">
        <v>122</v>
      </c>
      <c r="L1182" s="135">
        <v>461000798</v>
      </c>
      <c r="M1182" s="151">
        <v>45724</v>
      </c>
      <c r="N1182" s="152">
        <v>45723.784722222219</v>
      </c>
      <c r="O1182" s="152">
        <v>45723.770833333336</v>
      </c>
      <c r="P1182" s="152">
        <v>45723.791666666664</v>
      </c>
      <c r="Q1182" s="152">
        <v>45723.958333333336</v>
      </c>
      <c r="R1182" s="152">
        <v>45723.784722222219</v>
      </c>
      <c r="S1182" s="152" t="s">
        <v>118</v>
      </c>
      <c r="T1182" s="152">
        <v>45724.111111111109</v>
      </c>
      <c r="U1182" s="152">
        <v>45724.189583333333</v>
      </c>
      <c r="V1182" s="219">
        <f t="shared" si="717"/>
        <v>0.1875</v>
      </c>
      <c r="W1182" s="203">
        <v>0.20833333333333334</v>
      </c>
      <c r="X1182" s="219" t="str">
        <f t="shared" si="718"/>
        <v>00:00</v>
      </c>
      <c r="Y1182" s="96">
        <v>0</v>
      </c>
      <c r="Z1182" s="96">
        <v>57</v>
      </c>
      <c r="AA1182" s="96">
        <f t="shared" si="703"/>
        <v>57</v>
      </c>
      <c r="AB1182" s="97">
        <f t="shared" si="713"/>
        <v>0</v>
      </c>
      <c r="AC1182" s="97">
        <f t="shared" si="714"/>
        <v>3934.2499999999995</v>
      </c>
      <c r="AD1182" s="98">
        <v>3934.25</v>
      </c>
      <c r="AE1182" s="98">
        <v>3955.2</v>
      </c>
      <c r="AF1182" s="98">
        <v>3965.4</v>
      </c>
      <c r="AG1182" s="98">
        <f t="shared" si="715"/>
        <v>31.150000000000091</v>
      </c>
      <c r="AH1182" s="99">
        <v>672.5</v>
      </c>
      <c r="AI1182" s="100">
        <f t="shared" si="716"/>
        <v>2666731.5</v>
      </c>
      <c r="AJ1182" s="100">
        <f>(0.8*AH1182)*2</f>
        <v>1076</v>
      </c>
      <c r="AK1182" s="100">
        <v>0</v>
      </c>
      <c r="AL1182" s="100">
        <v>0</v>
      </c>
      <c r="AM1182" s="100">
        <v>0</v>
      </c>
      <c r="AN1182" s="100">
        <v>0</v>
      </c>
      <c r="AO1182" s="100">
        <v>0</v>
      </c>
      <c r="AP1182" s="100">
        <f t="shared" si="692"/>
        <v>133391</v>
      </c>
      <c r="AQ1182" s="101">
        <f t="shared" si="704"/>
        <v>2801199</v>
      </c>
      <c r="AR1182" s="101">
        <v>0</v>
      </c>
      <c r="AS1182" s="101">
        <v>0</v>
      </c>
      <c r="AT1182" s="102" t="s">
        <v>33</v>
      </c>
      <c r="AU1182" s="109" t="s">
        <v>118</v>
      </c>
      <c r="AV1182" s="100">
        <v>0</v>
      </c>
      <c r="AW1182" s="105">
        <v>0</v>
      </c>
      <c r="AX1182" s="216">
        <f t="shared" si="719"/>
        <v>0.7855449639380665</v>
      </c>
      <c r="AY1182" s="217">
        <f t="shared" si="720"/>
        <v>20949</v>
      </c>
      <c r="AZ1182" s="107"/>
      <c r="BA1182" s="94">
        <v>45723.784722222219</v>
      </c>
      <c r="BB1182" s="94">
        <v>45723.791666666664</v>
      </c>
      <c r="BC1182" s="94">
        <v>45723.791666666664</v>
      </c>
      <c r="BD1182" s="94">
        <v>45723.951388888891</v>
      </c>
      <c r="BE1182" s="95">
        <f t="shared" si="698"/>
        <v>0.16666666667151731</v>
      </c>
      <c r="BF1182" s="95">
        <v>4.6527777777777779E-2</v>
      </c>
      <c r="BG1182" s="95">
        <v>0</v>
      </c>
      <c r="BH1182" s="95">
        <f t="shared" si="721"/>
        <v>6.9444444452528842E-3</v>
      </c>
      <c r="BI1182" s="95">
        <f t="shared" si="721"/>
        <v>0</v>
      </c>
      <c r="BJ1182" s="95">
        <f t="shared" si="721"/>
        <v>0.15972222222626442</v>
      </c>
      <c r="BK1182" s="95">
        <f t="shared" si="722"/>
        <v>0.15972222222626442</v>
      </c>
      <c r="BL1182" s="95">
        <f t="shared" si="723"/>
        <v>0.11319444444848664</v>
      </c>
      <c r="BM1182" s="95" t="str">
        <f t="shared" si="724"/>
        <v>00:00</v>
      </c>
      <c r="BN1182" s="110"/>
    </row>
    <row r="1183" spans="1:67" s="8" customFormat="1" ht="12.75" customHeight="1" x14ac:dyDescent="0.25">
      <c r="A1183" s="150">
        <v>1089</v>
      </c>
      <c r="B1183" s="150">
        <v>23</v>
      </c>
      <c r="C1183" s="90">
        <v>5</v>
      </c>
      <c r="D1183" s="111" t="s">
        <v>148</v>
      </c>
      <c r="E1183" s="210" t="s">
        <v>1124</v>
      </c>
      <c r="F1183" s="150" t="s">
        <v>16</v>
      </c>
      <c r="G1183" s="150" t="s">
        <v>17</v>
      </c>
      <c r="H1183" s="150" t="s">
        <v>150</v>
      </c>
      <c r="I1183" s="150" t="s">
        <v>844</v>
      </c>
      <c r="J1183" s="151">
        <v>45723</v>
      </c>
      <c r="K1183" s="135" t="s">
        <v>117</v>
      </c>
      <c r="L1183" s="135">
        <v>461000799</v>
      </c>
      <c r="M1183" s="151">
        <v>45724</v>
      </c>
      <c r="N1183" s="152">
        <v>45724.104166666664</v>
      </c>
      <c r="O1183" s="152">
        <v>45724.104166666664</v>
      </c>
      <c r="P1183" s="152">
        <v>45724.107638888891</v>
      </c>
      <c r="Q1183" s="152">
        <v>45724.28125</v>
      </c>
      <c r="R1183" s="152" t="s">
        <v>118</v>
      </c>
      <c r="S1183" s="152" t="s">
        <v>118</v>
      </c>
      <c r="T1183" s="152">
        <v>45724.3125</v>
      </c>
      <c r="U1183" s="152">
        <v>45724.434027777781</v>
      </c>
      <c r="V1183" s="219">
        <f t="shared" si="717"/>
        <v>0.17708333333575865</v>
      </c>
      <c r="W1183" s="203">
        <v>0.20833333333333334</v>
      </c>
      <c r="X1183" s="219" t="str">
        <f t="shared" si="718"/>
        <v>00:00</v>
      </c>
      <c r="Y1183" s="96">
        <v>0</v>
      </c>
      <c r="Z1183" s="96">
        <v>58</v>
      </c>
      <c r="AA1183" s="96">
        <f t="shared" si="703"/>
        <v>58</v>
      </c>
      <c r="AB1183" s="97">
        <f t="shared" si="713"/>
        <v>0</v>
      </c>
      <c r="AC1183" s="97">
        <f t="shared" si="714"/>
        <v>4062.88</v>
      </c>
      <c r="AD1183" s="98">
        <v>4062.88</v>
      </c>
      <c r="AE1183" s="98">
        <v>4052</v>
      </c>
      <c r="AF1183" s="98">
        <v>4077.8</v>
      </c>
      <c r="AG1183" s="98">
        <f t="shared" si="715"/>
        <v>14.920000000000073</v>
      </c>
      <c r="AH1183" s="99">
        <v>672.5</v>
      </c>
      <c r="AI1183" s="100">
        <f t="shared" si="716"/>
        <v>2742320.5</v>
      </c>
      <c r="AJ1183" s="100">
        <f>(0*AH1183)*2</f>
        <v>0</v>
      </c>
      <c r="AK1183" s="100">
        <v>0</v>
      </c>
      <c r="AL1183" s="100">
        <v>24140</v>
      </c>
      <c r="AM1183" s="100">
        <v>0</v>
      </c>
      <c r="AN1183" s="100">
        <v>0</v>
      </c>
      <c r="AO1183" s="100">
        <v>0</v>
      </c>
      <c r="AP1183" s="100">
        <f t="shared" si="692"/>
        <v>138324</v>
      </c>
      <c r="AQ1183" s="101">
        <f t="shared" si="704"/>
        <v>2904785</v>
      </c>
      <c r="AR1183" s="101">
        <v>0</v>
      </c>
      <c r="AS1183" s="101">
        <v>0</v>
      </c>
      <c r="AT1183" s="102" t="s">
        <v>33</v>
      </c>
      <c r="AU1183" s="109">
        <v>14</v>
      </c>
      <c r="AV1183" s="100">
        <f>31.88-21.88</f>
        <v>10</v>
      </c>
      <c r="AW1183" s="105">
        <v>0</v>
      </c>
      <c r="AX1183" s="216">
        <f t="shared" si="719"/>
        <v>0.36588356466722427</v>
      </c>
      <c r="AY1183" s="217">
        <f t="shared" si="720"/>
        <v>10034</v>
      </c>
      <c r="AZ1183" s="107"/>
      <c r="BA1183" s="94">
        <v>45724.104166666664</v>
      </c>
      <c r="BB1183" s="94">
        <v>45724.107638888891</v>
      </c>
      <c r="BC1183" s="94">
        <v>45724.107638888891</v>
      </c>
      <c r="BD1183" s="94">
        <v>45724.225694444445</v>
      </c>
      <c r="BE1183" s="95">
        <f t="shared" si="698"/>
        <v>0.12152777778101154</v>
      </c>
      <c r="BF1183" s="95">
        <v>0</v>
      </c>
      <c r="BG1183" s="95">
        <v>0</v>
      </c>
      <c r="BH1183" s="95">
        <f t="shared" si="721"/>
        <v>3.4722222262644209E-3</v>
      </c>
      <c r="BI1183" s="95">
        <f t="shared" si="721"/>
        <v>0</v>
      </c>
      <c r="BJ1183" s="95">
        <f t="shared" si="721"/>
        <v>0.11805555555474712</v>
      </c>
      <c r="BK1183" s="95">
        <f t="shared" si="722"/>
        <v>0.11805555555474712</v>
      </c>
      <c r="BL1183" s="95">
        <f t="shared" si="723"/>
        <v>0.11805555555474712</v>
      </c>
      <c r="BM1183" s="95" t="str">
        <f t="shared" si="724"/>
        <v>00:00</v>
      </c>
      <c r="BN1183" s="110"/>
    </row>
    <row r="1184" spans="1:67" s="8" customFormat="1" ht="12.75" customHeight="1" x14ac:dyDescent="0.25">
      <c r="A1184" s="150">
        <v>1090</v>
      </c>
      <c r="B1184" s="150">
        <v>24</v>
      </c>
      <c r="C1184" s="90">
        <v>6</v>
      </c>
      <c r="D1184" s="111" t="s">
        <v>148</v>
      </c>
      <c r="E1184" s="210" t="s">
        <v>1124</v>
      </c>
      <c r="F1184" s="150" t="s">
        <v>16</v>
      </c>
      <c r="G1184" s="150" t="s">
        <v>17</v>
      </c>
      <c r="H1184" s="150" t="s">
        <v>150</v>
      </c>
      <c r="I1184" s="150" t="s">
        <v>846</v>
      </c>
      <c r="J1184" s="151">
        <v>45723</v>
      </c>
      <c r="K1184" s="135" t="s">
        <v>122</v>
      </c>
      <c r="L1184" s="135">
        <v>461000800</v>
      </c>
      <c r="M1184" s="151">
        <v>45724</v>
      </c>
      <c r="N1184" s="152">
        <v>45724.395833333336</v>
      </c>
      <c r="O1184" s="152">
        <v>45724.395833333336</v>
      </c>
      <c r="P1184" s="152">
        <v>45724.413194444445</v>
      </c>
      <c r="Q1184" s="152">
        <v>45724.5625</v>
      </c>
      <c r="R1184" s="152" t="s">
        <v>118</v>
      </c>
      <c r="S1184" s="152" t="s">
        <v>118</v>
      </c>
      <c r="T1184" s="152">
        <v>45724.642361111109</v>
      </c>
      <c r="U1184" s="152">
        <v>45724.734722222223</v>
      </c>
      <c r="V1184" s="219">
        <f t="shared" si="717"/>
        <v>0.16666666666424135</v>
      </c>
      <c r="W1184" s="203">
        <v>0.20833333333333334</v>
      </c>
      <c r="X1184" s="219" t="str">
        <f t="shared" si="718"/>
        <v>00:00</v>
      </c>
      <c r="Y1184" s="96">
        <v>0</v>
      </c>
      <c r="Z1184" s="96">
        <v>58</v>
      </c>
      <c r="AA1184" s="96">
        <f t="shared" si="703"/>
        <v>58</v>
      </c>
      <c r="AB1184" s="97">
        <f t="shared" si="713"/>
        <v>0</v>
      </c>
      <c r="AC1184" s="97">
        <f t="shared" si="714"/>
        <v>3915.8800000000006</v>
      </c>
      <c r="AD1184" s="98">
        <v>3915.88</v>
      </c>
      <c r="AE1184" s="98">
        <v>4031.3</v>
      </c>
      <c r="AF1184" s="98">
        <v>4031.4</v>
      </c>
      <c r="AG1184" s="98">
        <f t="shared" si="715"/>
        <v>115.51999999999998</v>
      </c>
      <c r="AH1184" s="99">
        <v>672.5</v>
      </c>
      <c r="AI1184" s="100">
        <f t="shared" si="716"/>
        <v>2711116.5</v>
      </c>
      <c r="AJ1184" s="100">
        <f>(0*AH1184)*2</f>
        <v>0</v>
      </c>
      <c r="AK1184" s="100">
        <v>0</v>
      </c>
      <c r="AL1184" s="100">
        <v>0</v>
      </c>
      <c r="AM1184" s="100">
        <v>0</v>
      </c>
      <c r="AN1184" s="100">
        <v>0</v>
      </c>
      <c r="AO1184" s="100">
        <v>0</v>
      </c>
      <c r="AP1184" s="100">
        <f t="shared" si="692"/>
        <v>135556</v>
      </c>
      <c r="AQ1184" s="101">
        <f t="shared" si="704"/>
        <v>2846673</v>
      </c>
      <c r="AR1184" s="101">
        <v>0</v>
      </c>
      <c r="AS1184" s="101">
        <v>0</v>
      </c>
      <c r="AT1184" s="102" t="s">
        <v>33</v>
      </c>
      <c r="AU1184" s="109" t="s">
        <v>118</v>
      </c>
      <c r="AV1184" s="100">
        <v>0</v>
      </c>
      <c r="AW1184" s="105">
        <v>0</v>
      </c>
      <c r="AX1184" s="216">
        <f t="shared" si="719"/>
        <v>2.8655057796299048</v>
      </c>
      <c r="AY1184" s="217">
        <f t="shared" si="720"/>
        <v>77688</v>
      </c>
      <c r="AZ1184" s="107"/>
      <c r="BA1184" s="94">
        <v>45724.395833333336</v>
      </c>
      <c r="BB1184" s="94">
        <v>45724.413194444445</v>
      </c>
      <c r="BC1184" s="94">
        <v>45724.413194444445</v>
      </c>
      <c r="BD1184" s="94">
        <v>45724.523611111108</v>
      </c>
      <c r="BE1184" s="95">
        <f t="shared" si="698"/>
        <v>0.12777777777228039</v>
      </c>
      <c r="BF1184" s="95">
        <v>0</v>
      </c>
      <c r="BG1184" s="95">
        <v>0</v>
      </c>
      <c r="BH1184" s="95">
        <f t="shared" si="721"/>
        <v>1.7361111109494232E-2</v>
      </c>
      <c r="BI1184" s="95">
        <f t="shared" si="721"/>
        <v>0</v>
      </c>
      <c r="BJ1184" s="95">
        <f t="shared" si="721"/>
        <v>0.11041666666278616</v>
      </c>
      <c r="BK1184" s="95">
        <f t="shared" si="722"/>
        <v>0.11041666666278616</v>
      </c>
      <c r="BL1184" s="95">
        <f t="shared" si="723"/>
        <v>0.11041666666278616</v>
      </c>
      <c r="BM1184" s="95" t="str">
        <f t="shared" si="724"/>
        <v>00:00</v>
      </c>
      <c r="BN1184" s="110"/>
    </row>
    <row r="1185" spans="1:66" s="8" customFormat="1" ht="12.75" customHeight="1" x14ac:dyDescent="0.25">
      <c r="A1185" s="150">
        <v>1091</v>
      </c>
      <c r="B1185" s="150">
        <v>25</v>
      </c>
      <c r="C1185" s="90">
        <v>7</v>
      </c>
      <c r="D1185" s="111" t="s">
        <v>113</v>
      </c>
      <c r="E1185" s="210" t="s">
        <v>1082</v>
      </c>
      <c r="F1185" s="150" t="s">
        <v>27</v>
      </c>
      <c r="G1185" s="150" t="s">
        <v>12</v>
      </c>
      <c r="H1185" s="150" t="s">
        <v>115</v>
      </c>
      <c r="I1185" s="150" t="s">
        <v>1126</v>
      </c>
      <c r="J1185" s="151">
        <v>45724</v>
      </c>
      <c r="K1185" s="135" t="s">
        <v>117</v>
      </c>
      <c r="L1185" s="135">
        <v>282001142</v>
      </c>
      <c r="M1185" s="151">
        <v>45725</v>
      </c>
      <c r="N1185" s="152">
        <v>45724.677083333336</v>
      </c>
      <c r="O1185" s="152">
        <v>45724.677083333336</v>
      </c>
      <c r="P1185" s="152">
        <v>45724.690972222219</v>
      </c>
      <c r="Q1185" s="152">
        <v>45724.885416666664</v>
      </c>
      <c r="R1185" s="152" t="s">
        <v>118</v>
      </c>
      <c r="S1185" s="152" t="s">
        <v>118</v>
      </c>
      <c r="T1185" s="152">
        <v>45724.9375</v>
      </c>
      <c r="U1185" s="152">
        <v>45725.086805555555</v>
      </c>
      <c r="V1185" s="219">
        <f t="shared" si="717"/>
        <v>0.20833333332848269</v>
      </c>
      <c r="W1185" s="203">
        <v>0.20833333333333334</v>
      </c>
      <c r="X1185" s="219" t="str">
        <f t="shared" si="718"/>
        <v>00:00</v>
      </c>
      <c r="Y1185" s="96">
        <v>0</v>
      </c>
      <c r="Z1185" s="96">
        <v>58</v>
      </c>
      <c r="AA1185" s="96">
        <f t="shared" si="703"/>
        <v>58</v>
      </c>
      <c r="AB1185" s="97">
        <f t="shared" si="713"/>
        <v>0</v>
      </c>
      <c r="AC1185" s="97">
        <f t="shared" si="714"/>
        <v>3978.5300000000007</v>
      </c>
      <c r="AD1185" s="98">
        <v>3978.53</v>
      </c>
      <c r="AE1185" s="98">
        <v>4030.2</v>
      </c>
      <c r="AF1185" s="98">
        <v>4039.6</v>
      </c>
      <c r="AG1185" s="98">
        <f t="shared" si="715"/>
        <v>61.069999999999709</v>
      </c>
      <c r="AH1185" s="99">
        <v>1586.7</v>
      </c>
      <c r="AI1185" s="100">
        <f t="shared" si="716"/>
        <v>6409633.3200000003</v>
      </c>
      <c r="AJ1185" s="100">
        <f>(0*AH1185)*2</f>
        <v>0</v>
      </c>
      <c r="AK1185" s="100">
        <v>0</v>
      </c>
      <c r="AL1185" s="100">
        <v>24140</v>
      </c>
      <c r="AM1185" s="100">
        <v>0</v>
      </c>
      <c r="AN1185" s="100">
        <v>0</v>
      </c>
      <c r="AO1185" s="100">
        <f>IFERROR(AF1185*20+(((AJ1185/AH1185)/2)*20),0)</f>
        <v>80792</v>
      </c>
      <c r="AP1185" s="100">
        <f t="shared" si="692"/>
        <v>325729</v>
      </c>
      <c r="AQ1185" s="101">
        <f t="shared" si="704"/>
        <v>6840295</v>
      </c>
      <c r="AR1185" s="101">
        <v>0</v>
      </c>
      <c r="AS1185" s="101">
        <v>0</v>
      </c>
      <c r="AT1185" s="102" t="s">
        <v>33</v>
      </c>
      <c r="AU1185" s="109">
        <v>4</v>
      </c>
      <c r="AV1185" s="100">
        <f>10.36-7.86</f>
        <v>2.4999999999999991</v>
      </c>
      <c r="AW1185" s="105">
        <v>0</v>
      </c>
      <c r="AX1185" s="216">
        <f t="shared" si="719"/>
        <v>1.511783344885625</v>
      </c>
      <c r="AY1185" s="217">
        <f t="shared" si="720"/>
        <v>96900</v>
      </c>
      <c r="AZ1185" s="107"/>
      <c r="BA1185" s="94">
        <v>45724.677083333336</v>
      </c>
      <c r="BB1185" s="94">
        <v>45724.690972222219</v>
      </c>
      <c r="BC1185" s="94">
        <v>45724.697916666664</v>
      </c>
      <c r="BD1185" s="94">
        <v>45724.852777777778</v>
      </c>
      <c r="BE1185" s="95">
        <f t="shared" si="698"/>
        <v>0.1756944444423425</v>
      </c>
      <c r="BF1185" s="95">
        <v>0</v>
      </c>
      <c r="BG1185" s="95">
        <v>4.027777777777778E-2</v>
      </c>
      <c r="BH1185" s="95">
        <f t="shared" si="721"/>
        <v>1.3888888883229811E-2</v>
      </c>
      <c r="BI1185" s="95">
        <f t="shared" si="721"/>
        <v>6.9444444452528842E-3</v>
      </c>
      <c r="BJ1185" s="95">
        <f t="shared" si="721"/>
        <v>0.15486111111385981</v>
      </c>
      <c r="BK1185" s="95">
        <f t="shared" si="722"/>
        <v>0.16180555555911269</v>
      </c>
      <c r="BL1185" s="95">
        <f t="shared" si="723"/>
        <v>0.12152777778133492</v>
      </c>
      <c r="BM1185" s="95" t="str">
        <f t="shared" si="724"/>
        <v>00:00</v>
      </c>
      <c r="BN1185" s="110"/>
    </row>
    <row r="1186" spans="1:66" s="8" customFormat="1" ht="12.75" customHeight="1" x14ac:dyDescent="0.25">
      <c r="A1186" s="150">
        <v>1092</v>
      </c>
      <c r="B1186" s="150">
        <v>26</v>
      </c>
      <c r="C1186" s="90">
        <v>7</v>
      </c>
      <c r="D1186" s="111" t="s">
        <v>148</v>
      </c>
      <c r="E1186" s="210" t="s">
        <v>1124</v>
      </c>
      <c r="F1186" s="150" t="s">
        <v>16</v>
      </c>
      <c r="G1186" s="150" t="s">
        <v>17</v>
      </c>
      <c r="H1186" s="150" t="s">
        <v>150</v>
      </c>
      <c r="I1186" s="150" t="s">
        <v>848</v>
      </c>
      <c r="J1186" s="151">
        <v>45723</v>
      </c>
      <c r="K1186" s="135" t="s">
        <v>122</v>
      </c>
      <c r="L1186" s="135">
        <v>461000801</v>
      </c>
      <c r="M1186" s="151">
        <v>45725</v>
      </c>
      <c r="N1186" s="152">
        <v>45725.3125</v>
      </c>
      <c r="O1186" s="152">
        <v>45725.3125</v>
      </c>
      <c r="P1186" s="152">
        <v>45725.322916666664</v>
      </c>
      <c r="Q1186" s="152">
        <v>45725.5</v>
      </c>
      <c r="R1186" s="152" t="s">
        <v>118</v>
      </c>
      <c r="S1186" s="152" t="s">
        <v>118</v>
      </c>
      <c r="T1186" s="152">
        <v>45725.541666666664</v>
      </c>
      <c r="U1186" s="152">
        <v>45725.62222222222</v>
      </c>
      <c r="V1186" s="219">
        <f t="shared" si="717"/>
        <v>0.1875</v>
      </c>
      <c r="W1186" s="203">
        <v>0.20833333333333334</v>
      </c>
      <c r="X1186" s="219" t="str">
        <f t="shared" si="718"/>
        <v>00:00</v>
      </c>
      <c r="Y1186" s="96">
        <v>0</v>
      </c>
      <c r="Z1186" s="96">
        <v>58</v>
      </c>
      <c r="AA1186" s="96">
        <f t="shared" si="703"/>
        <v>58</v>
      </c>
      <c r="AB1186" s="97">
        <f t="shared" si="713"/>
        <v>0</v>
      </c>
      <c r="AC1186" s="97">
        <f t="shared" si="714"/>
        <v>3981.92</v>
      </c>
      <c r="AD1186" s="98">
        <v>3981.92</v>
      </c>
      <c r="AE1186" s="98">
        <v>4028.6</v>
      </c>
      <c r="AF1186" s="98">
        <v>4032.8</v>
      </c>
      <c r="AG1186" s="98">
        <f t="shared" si="715"/>
        <v>50.880000000000109</v>
      </c>
      <c r="AH1186" s="99">
        <v>672.5</v>
      </c>
      <c r="AI1186" s="100">
        <f t="shared" si="716"/>
        <v>2712058</v>
      </c>
      <c r="AJ1186" s="100">
        <f>(1.2*AH1186)*2</f>
        <v>1614</v>
      </c>
      <c r="AK1186" s="100">
        <v>0</v>
      </c>
      <c r="AL1186" s="100">
        <v>0</v>
      </c>
      <c r="AM1186" s="100">
        <v>0</v>
      </c>
      <c r="AN1186" s="100">
        <v>0</v>
      </c>
      <c r="AO1186" s="100">
        <v>0</v>
      </c>
      <c r="AP1186" s="100">
        <f t="shared" si="692"/>
        <v>135684</v>
      </c>
      <c r="AQ1186" s="101">
        <f t="shared" si="704"/>
        <v>2849356</v>
      </c>
      <c r="AR1186" s="101">
        <v>0</v>
      </c>
      <c r="AS1186" s="101">
        <v>0</v>
      </c>
      <c r="AT1186" s="102" t="s">
        <v>33</v>
      </c>
      <c r="AU1186" s="109" t="s">
        <v>118</v>
      </c>
      <c r="AV1186" s="100">
        <v>0</v>
      </c>
      <c r="AW1186" s="105">
        <v>0</v>
      </c>
      <c r="AX1186" s="216">
        <f t="shared" si="719"/>
        <v>1.2616544336441209</v>
      </c>
      <c r="AY1186" s="217">
        <f t="shared" si="720"/>
        <v>34217</v>
      </c>
      <c r="AZ1186" s="107"/>
      <c r="BA1186" s="94">
        <v>45725.3125</v>
      </c>
      <c r="BB1186" s="94">
        <v>45725.322916666664</v>
      </c>
      <c r="BC1186" s="94">
        <v>45725.34375</v>
      </c>
      <c r="BD1186" s="94">
        <v>45725.480555555558</v>
      </c>
      <c r="BE1186" s="95">
        <f t="shared" si="698"/>
        <v>0.1680555555576575</v>
      </c>
      <c r="BF1186" s="95">
        <v>5.1388888888888887E-2</v>
      </c>
      <c r="BG1186" s="95">
        <v>0</v>
      </c>
      <c r="BH1186" s="95">
        <f t="shared" si="721"/>
        <v>1.0416666664241347E-2</v>
      </c>
      <c r="BI1186" s="95">
        <f t="shared" si="721"/>
        <v>2.0833333335758653E-2</v>
      </c>
      <c r="BJ1186" s="95">
        <f t="shared" si="721"/>
        <v>0.1368055555576575</v>
      </c>
      <c r="BK1186" s="95">
        <f t="shared" si="722"/>
        <v>0.15763888889341615</v>
      </c>
      <c r="BL1186" s="95">
        <f t="shared" si="723"/>
        <v>0.10625000000452726</v>
      </c>
      <c r="BM1186" s="95" t="str">
        <f t="shared" si="724"/>
        <v>00:00</v>
      </c>
      <c r="BN1186" s="110"/>
    </row>
    <row r="1187" spans="1:66" s="8" customFormat="1" ht="12.75" customHeight="1" x14ac:dyDescent="0.25">
      <c r="A1187" s="150">
        <v>1093</v>
      </c>
      <c r="B1187" s="150">
        <v>27</v>
      </c>
      <c r="C1187" s="90">
        <v>5</v>
      </c>
      <c r="D1187" s="111" t="s">
        <v>113</v>
      </c>
      <c r="E1187" s="210" t="s">
        <v>1111</v>
      </c>
      <c r="F1187" s="150" t="s">
        <v>41</v>
      </c>
      <c r="G1187" s="150" t="s">
        <v>12</v>
      </c>
      <c r="H1187" s="150" t="s">
        <v>115</v>
      </c>
      <c r="I1187" s="150" t="s">
        <v>1127</v>
      </c>
      <c r="J1187" s="151">
        <v>45725</v>
      </c>
      <c r="K1187" s="135" t="s">
        <v>117</v>
      </c>
      <c r="L1187" s="135">
        <v>282001143</v>
      </c>
      <c r="M1187" s="151">
        <v>45726</v>
      </c>
      <c r="N1187" s="152">
        <v>45725.493055555555</v>
      </c>
      <c r="O1187" s="152">
        <v>45725.493055555555</v>
      </c>
      <c r="P1187" s="152">
        <v>45725.5</v>
      </c>
      <c r="Q1187" s="152">
        <v>45725.697916666664</v>
      </c>
      <c r="R1187" s="152" t="s">
        <v>118</v>
      </c>
      <c r="S1187" s="152" t="s">
        <v>118</v>
      </c>
      <c r="T1187" s="152">
        <v>45725.770833333336</v>
      </c>
      <c r="U1187" s="152">
        <v>45725.837500000001</v>
      </c>
      <c r="V1187" s="219">
        <f t="shared" si="717"/>
        <v>0.20486111110949423</v>
      </c>
      <c r="W1187" s="203">
        <v>0.20833333333333334</v>
      </c>
      <c r="X1187" s="219" t="str">
        <f t="shared" si="718"/>
        <v>00:00</v>
      </c>
      <c r="Y1187" s="96">
        <v>0</v>
      </c>
      <c r="Z1187" s="96">
        <v>58</v>
      </c>
      <c r="AA1187" s="96">
        <f t="shared" si="703"/>
        <v>58</v>
      </c>
      <c r="AB1187" s="97">
        <f t="shared" si="713"/>
        <v>0</v>
      </c>
      <c r="AC1187" s="97">
        <f t="shared" si="714"/>
        <v>3973.4</v>
      </c>
      <c r="AD1187" s="98">
        <v>3973.4</v>
      </c>
      <c r="AE1187" s="98">
        <v>4060</v>
      </c>
      <c r="AF1187" s="98">
        <v>4060.6</v>
      </c>
      <c r="AG1187" s="98">
        <f t="shared" si="715"/>
        <v>87.199999999999818</v>
      </c>
      <c r="AH1187" s="99">
        <v>1586.7</v>
      </c>
      <c r="AI1187" s="100">
        <f t="shared" si="716"/>
        <v>6442954.0200000005</v>
      </c>
      <c r="AJ1187" s="100">
        <f>(0*AH1187)*2</f>
        <v>0</v>
      </c>
      <c r="AK1187" s="100">
        <v>0</v>
      </c>
      <c r="AL1187" s="100">
        <v>0</v>
      </c>
      <c r="AM1187" s="100">
        <v>0</v>
      </c>
      <c r="AN1187" s="100">
        <v>0</v>
      </c>
      <c r="AO1187" s="100">
        <f>IFERROR(AF1187*20+(((AJ1187/AH1187)/2)*20),0)</f>
        <v>81212</v>
      </c>
      <c r="AP1187" s="100">
        <f t="shared" si="692"/>
        <v>326209</v>
      </c>
      <c r="AQ1187" s="101">
        <f t="shared" si="704"/>
        <v>6850376</v>
      </c>
      <c r="AR1187" s="101">
        <v>0</v>
      </c>
      <c r="AS1187" s="101">
        <v>0</v>
      </c>
      <c r="AT1187" s="102" t="s">
        <v>33</v>
      </c>
      <c r="AU1187" s="109" t="s">
        <v>118</v>
      </c>
      <c r="AV1187" s="100">
        <v>0</v>
      </c>
      <c r="AW1187" s="105">
        <v>0</v>
      </c>
      <c r="AX1187" s="216">
        <f t="shared" si="719"/>
        <v>2.1474658917401324</v>
      </c>
      <c r="AY1187" s="217">
        <f t="shared" si="720"/>
        <v>138361</v>
      </c>
      <c r="AZ1187" s="107"/>
      <c r="BA1187" s="94">
        <v>45725.493055555555</v>
      </c>
      <c r="BB1187" s="94">
        <v>45725.5</v>
      </c>
      <c r="BC1187" s="94">
        <v>45725.510416666664</v>
      </c>
      <c r="BD1187" s="94">
        <v>45725.697916666664</v>
      </c>
      <c r="BE1187" s="95">
        <f t="shared" si="698"/>
        <v>0.20486111110949423</v>
      </c>
      <c r="BF1187" s="95">
        <v>3.4722222222222224E-2</v>
      </c>
      <c r="BG1187" s="95">
        <v>1.0416666666666666E-2</v>
      </c>
      <c r="BH1187" s="95">
        <f t="shared" si="721"/>
        <v>6.9444444452528842E-3</v>
      </c>
      <c r="BI1187" s="95">
        <f t="shared" si="721"/>
        <v>1.0416666664241347E-2</v>
      </c>
      <c r="BJ1187" s="95">
        <f t="shared" si="721"/>
        <v>0.1875</v>
      </c>
      <c r="BK1187" s="95">
        <f t="shared" si="722"/>
        <v>0.19791666666424135</v>
      </c>
      <c r="BL1187" s="95">
        <f t="shared" si="723"/>
        <v>0.15277777777535248</v>
      </c>
      <c r="BM1187" s="95" t="str">
        <f t="shared" si="724"/>
        <v>00:00</v>
      </c>
      <c r="BN1187" s="110"/>
    </row>
    <row r="1188" spans="1:66" s="8" customFormat="1" ht="12.75" customHeight="1" x14ac:dyDescent="0.25">
      <c r="A1188" s="150">
        <v>1094</v>
      </c>
      <c r="B1188" s="150">
        <v>28</v>
      </c>
      <c r="C1188" s="90">
        <v>8</v>
      </c>
      <c r="D1188" s="111" t="s">
        <v>148</v>
      </c>
      <c r="E1188" s="210" t="s">
        <v>1124</v>
      </c>
      <c r="F1188" s="150" t="s">
        <v>16</v>
      </c>
      <c r="G1188" s="150" t="s">
        <v>17</v>
      </c>
      <c r="H1188" s="150" t="s">
        <v>150</v>
      </c>
      <c r="I1188" s="150" t="s">
        <v>856</v>
      </c>
      <c r="J1188" s="151">
        <v>45723</v>
      </c>
      <c r="K1188" s="135" t="s">
        <v>122</v>
      </c>
      <c r="L1188" s="135">
        <v>461000802</v>
      </c>
      <c r="M1188" s="151">
        <v>45726</v>
      </c>
      <c r="N1188" s="152">
        <v>45725.75</v>
      </c>
      <c r="O1188" s="152">
        <v>45725.75</v>
      </c>
      <c r="P1188" s="152">
        <v>45725.756944444445</v>
      </c>
      <c r="Q1188" s="152">
        <v>45725.916666666664</v>
      </c>
      <c r="R1188" s="152" t="s">
        <v>118</v>
      </c>
      <c r="S1188" s="152" t="s">
        <v>118</v>
      </c>
      <c r="T1188" s="152">
        <v>45725.947916666664</v>
      </c>
      <c r="U1188" s="152">
        <v>45726.044444444444</v>
      </c>
      <c r="V1188" s="219">
        <f t="shared" si="717"/>
        <v>0.16666666666424135</v>
      </c>
      <c r="W1188" s="203">
        <v>0.20833333333333334</v>
      </c>
      <c r="X1188" s="219" t="str">
        <f t="shared" si="718"/>
        <v>00:00</v>
      </c>
      <c r="Y1188" s="96">
        <v>0</v>
      </c>
      <c r="Z1188" s="96">
        <v>58</v>
      </c>
      <c r="AA1188" s="96">
        <f t="shared" si="703"/>
        <v>58</v>
      </c>
      <c r="AB1188" s="97">
        <f t="shared" si="713"/>
        <v>0</v>
      </c>
      <c r="AC1188" s="97">
        <f t="shared" si="714"/>
        <v>4018.4999999999995</v>
      </c>
      <c r="AD1188" s="98">
        <v>4018.5</v>
      </c>
      <c r="AE1188" s="98">
        <v>4038.8</v>
      </c>
      <c r="AF1188" s="98">
        <v>4051.4</v>
      </c>
      <c r="AG1188" s="98">
        <f t="shared" si="715"/>
        <v>32.900000000000091</v>
      </c>
      <c r="AH1188" s="99">
        <v>672.5</v>
      </c>
      <c r="AI1188" s="100">
        <f t="shared" si="716"/>
        <v>2724566.5</v>
      </c>
      <c r="AJ1188" s="100">
        <f>(2.4*AH1188)*2</f>
        <v>3228</v>
      </c>
      <c r="AK1188" s="100">
        <v>0</v>
      </c>
      <c r="AL1188" s="100">
        <v>0</v>
      </c>
      <c r="AM1188" s="100">
        <v>0</v>
      </c>
      <c r="AN1188" s="100">
        <v>0</v>
      </c>
      <c r="AO1188" s="100">
        <v>0</v>
      </c>
      <c r="AP1188" s="100">
        <f t="shared" si="692"/>
        <v>136390</v>
      </c>
      <c r="AQ1188" s="101">
        <f t="shared" si="704"/>
        <v>2864185</v>
      </c>
      <c r="AR1188" s="101">
        <v>0</v>
      </c>
      <c r="AS1188" s="101">
        <v>0</v>
      </c>
      <c r="AT1188" s="102" t="s">
        <v>33</v>
      </c>
      <c r="AU1188" s="109" t="s">
        <v>118</v>
      </c>
      <c r="AV1188" s="100">
        <v>0</v>
      </c>
      <c r="AW1188" s="105">
        <v>0</v>
      </c>
      <c r="AX1188" s="216">
        <f t="shared" si="719"/>
        <v>0.81206496519721805</v>
      </c>
      <c r="AY1188" s="217">
        <f t="shared" si="720"/>
        <v>22126</v>
      </c>
      <c r="AZ1188" s="107"/>
      <c r="BA1188" s="94">
        <v>45725.75</v>
      </c>
      <c r="BB1188" s="94">
        <v>45725.756944444445</v>
      </c>
      <c r="BC1188" s="94">
        <v>45725.756944444445</v>
      </c>
      <c r="BD1188" s="94">
        <v>45725.869444444441</v>
      </c>
      <c r="BE1188" s="95">
        <f t="shared" si="698"/>
        <v>0.11944444444088731</v>
      </c>
      <c r="BF1188" s="95">
        <v>0</v>
      </c>
      <c r="BG1188" s="95">
        <v>0</v>
      </c>
      <c r="BH1188" s="95">
        <f t="shared" si="721"/>
        <v>6.9444444452528842E-3</v>
      </c>
      <c r="BI1188" s="95">
        <f t="shared" si="721"/>
        <v>0</v>
      </c>
      <c r="BJ1188" s="95">
        <f t="shared" si="721"/>
        <v>0.11249999999563443</v>
      </c>
      <c r="BK1188" s="95">
        <f t="shared" si="722"/>
        <v>0.11249999999563443</v>
      </c>
      <c r="BL1188" s="95">
        <f t="shared" si="723"/>
        <v>0.11249999999563443</v>
      </c>
      <c r="BM1188" s="95" t="str">
        <f t="shared" si="724"/>
        <v>00:00</v>
      </c>
      <c r="BN1188" s="110"/>
    </row>
    <row r="1189" spans="1:66" s="8" customFormat="1" ht="12.75" customHeight="1" x14ac:dyDescent="0.25">
      <c r="A1189" s="150">
        <v>1095</v>
      </c>
      <c r="B1189" s="150">
        <v>29</v>
      </c>
      <c r="C1189" s="90">
        <v>9</v>
      </c>
      <c r="D1189" s="111" t="s">
        <v>148</v>
      </c>
      <c r="E1189" s="210" t="s">
        <v>1124</v>
      </c>
      <c r="F1189" s="150" t="s">
        <v>16</v>
      </c>
      <c r="G1189" s="150" t="s">
        <v>17</v>
      </c>
      <c r="H1189" s="150" t="s">
        <v>150</v>
      </c>
      <c r="I1189" s="150" t="s">
        <v>857</v>
      </c>
      <c r="J1189" s="151">
        <v>45724</v>
      </c>
      <c r="K1189" s="135" t="s">
        <v>117</v>
      </c>
      <c r="L1189" s="135">
        <v>461000803</v>
      </c>
      <c r="M1189" s="151">
        <v>45726</v>
      </c>
      <c r="N1189" s="152">
        <v>45725.864583333336</v>
      </c>
      <c r="O1189" s="152">
        <v>45725.864583333336</v>
      </c>
      <c r="P1189" s="152">
        <v>45725.871527777781</v>
      </c>
      <c r="Q1189" s="152">
        <v>45726.03125</v>
      </c>
      <c r="R1189" s="152" t="s">
        <v>118</v>
      </c>
      <c r="S1189" s="152" t="s">
        <v>118</v>
      </c>
      <c r="T1189" s="152">
        <v>45726.069444444445</v>
      </c>
      <c r="U1189" s="152">
        <v>45726.194444444445</v>
      </c>
      <c r="V1189" s="219">
        <f t="shared" si="717"/>
        <v>0.16666666666424135</v>
      </c>
      <c r="W1189" s="203">
        <v>0.20833333333333334</v>
      </c>
      <c r="X1189" s="219" t="str">
        <f t="shared" si="718"/>
        <v>00:00</v>
      </c>
      <c r="Y1189" s="96">
        <v>0</v>
      </c>
      <c r="Z1189" s="96">
        <v>58</v>
      </c>
      <c r="AA1189" s="96">
        <f t="shared" si="703"/>
        <v>58</v>
      </c>
      <c r="AB1189" s="97">
        <f t="shared" si="713"/>
        <v>0</v>
      </c>
      <c r="AC1189" s="97">
        <f t="shared" si="714"/>
        <v>4043.5300000000007</v>
      </c>
      <c r="AD1189" s="98">
        <v>4043.53</v>
      </c>
      <c r="AE1189" s="98">
        <v>4040.2</v>
      </c>
      <c r="AF1189" s="98">
        <v>4067.6</v>
      </c>
      <c r="AG1189" s="98">
        <f t="shared" si="715"/>
        <v>24.069999999999709</v>
      </c>
      <c r="AH1189" s="99">
        <v>672.5</v>
      </c>
      <c r="AI1189" s="100">
        <f t="shared" si="716"/>
        <v>2735461</v>
      </c>
      <c r="AJ1189" s="100">
        <f>(0*AH1189)*2</f>
        <v>0</v>
      </c>
      <c r="AK1189" s="100">
        <v>0</v>
      </c>
      <c r="AL1189" s="100">
        <v>24140</v>
      </c>
      <c r="AM1189" s="100">
        <v>0</v>
      </c>
      <c r="AN1189" s="100">
        <v>0</v>
      </c>
      <c r="AO1189" s="100">
        <v>0</v>
      </c>
      <c r="AP1189" s="100">
        <f t="shared" si="692"/>
        <v>137981</v>
      </c>
      <c r="AQ1189" s="101">
        <f t="shared" si="704"/>
        <v>2897582</v>
      </c>
      <c r="AR1189" s="101">
        <v>0</v>
      </c>
      <c r="AS1189" s="101">
        <v>0</v>
      </c>
      <c r="AT1189" s="102" t="s">
        <v>33</v>
      </c>
      <c r="AU1189" s="109">
        <v>13</v>
      </c>
      <c r="AV1189" s="100">
        <f>31.89-24.39</f>
        <v>7.5</v>
      </c>
      <c r="AW1189" s="105">
        <v>0</v>
      </c>
      <c r="AX1189" s="216">
        <f t="shared" si="719"/>
        <v>0.59174943455599638</v>
      </c>
      <c r="AY1189" s="217">
        <f t="shared" si="720"/>
        <v>16188</v>
      </c>
      <c r="AZ1189" s="107"/>
      <c r="BA1189" s="94">
        <v>45725.864583333336</v>
      </c>
      <c r="BB1189" s="94">
        <v>45725.871527777781</v>
      </c>
      <c r="BC1189" s="94">
        <v>45725.871527777781</v>
      </c>
      <c r="BD1189" s="94">
        <v>45726</v>
      </c>
      <c r="BE1189" s="95">
        <f t="shared" si="698"/>
        <v>0.13541666666424135</v>
      </c>
      <c r="BF1189" s="95">
        <v>0</v>
      </c>
      <c r="BG1189" s="95">
        <v>0</v>
      </c>
      <c r="BH1189" s="95">
        <f t="shared" si="721"/>
        <v>6.9444444452528842E-3</v>
      </c>
      <c r="BI1189" s="95">
        <f t="shared" si="721"/>
        <v>0</v>
      </c>
      <c r="BJ1189" s="95">
        <f t="shared" si="721"/>
        <v>0.12847222221898846</v>
      </c>
      <c r="BK1189" s="95">
        <f t="shared" si="722"/>
        <v>0.12847222221898846</v>
      </c>
      <c r="BL1189" s="95">
        <f t="shared" si="723"/>
        <v>0.12847222221898846</v>
      </c>
      <c r="BM1189" s="95" t="str">
        <f t="shared" si="724"/>
        <v>00:00</v>
      </c>
      <c r="BN1189" s="110"/>
    </row>
    <row r="1190" spans="1:66" s="8" customFormat="1" ht="12.75" customHeight="1" x14ac:dyDescent="0.25">
      <c r="A1190" s="150">
        <v>1096</v>
      </c>
      <c r="B1190" s="150">
        <v>30</v>
      </c>
      <c r="C1190" s="90">
        <v>10</v>
      </c>
      <c r="D1190" s="111" t="s">
        <v>148</v>
      </c>
      <c r="E1190" s="210" t="s">
        <v>1124</v>
      </c>
      <c r="F1190" s="150" t="s">
        <v>16</v>
      </c>
      <c r="G1190" s="150" t="s">
        <v>17</v>
      </c>
      <c r="H1190" s="150" t="s">
        <v>150</v>
      </c>
      <c r="I1190" s="150" t="s">
        <v>860</v>
      </c>
      <c r="J1190" s="151">
        <v>45724</v>
      </c>
      <c r="K1190" s="135" t="s">
        <v>122</v>
      </c>
      <c r="L1190" s="135">
        <v>461000804</v>
      </c>
      <c r="M1190" s="151">
        <v>45726</v>
      </c>
      <c r="N1190" s="152">
        <v>45726.1875</v>
      </c>
      <c r="O1190" s="152">
        <v>45726.1875</v>
      </c>
      <c r="P1190" s="152">
        <v>45726.197916666664</v>
      </c>
      <c r="Q1190" s="152">
        <v>45726.354166666664</v>
      </c>
      <c r="R1190" s="152" t="s">
        <v>118</v>
      </c>
      <c r="S1190" s="152" t="s">
        <v>118</v>
      </c>
      <c r="T1190" s="152">
        <v>45726.375</v>
      </c>
      <c r="U1190" s="152">
        <v>45726.5</v>
      </c>
      <c r="V1190" s="219">
        <f t="shared" si="717"/>
        <v>0.16666666666424135</v>
      </c>
      <c r="W1190" s="203">
        <v>0.20833333333333334</v>
      </c>
      <c r="X1190" s="219" t="str">
        <f t="shared" si="718"/>
        <v>00:00</v>
      </c>
      <c r="Y1190" s="96">
        <v>0</v>
      </c>
      <c r="Z1190" s="96">
        <v>58</v>
      </c>
      <c r="AA1190" s="96">
        <f t="shared" si="703"/>
        <v>58</v>
      </c>
      <c r="AB1190" s="97">
        <f t="shared" si="713"/>
        <v>0</v>
      </c>
      <c r="AC1190" s="97">
        <f t="shared" si="714"/>
        <v>4007.4699999999993</v>
      </c>
      <c r="AD1190" s="98">
        <v>4007.47</v>
      </c>
      <c r="AE1190" s="98">
        <v>4028.5</v>
      </c>
      <c r="AF1190" s="98">
        <v>4043.4</v>
      </c>
      <c r="AG1190" s="98">
        <f t="shared" si="715"/>
        <v>35.930000000000291</v>
      </c>
      <c r="AH1190" s="99">
        <v>672.5</v>
      </c>
      <c r="AI1190" s="100">
        <f t="shared" si="716"/>
        <v>2719186.5</v>
      </c>
      <c r="AJ1190" s="100">
        <f>(0*AH1190)*2</f>
        <v>0</v>
      </c>
      <c r="AK1190" s="100">
        <v>0</v>
      </c>
      <c r="AL1190" s="100">
        <v>24140</v>
      </c>
      <c r="AM1190" s="100">
        <v>0</v>
      </c>
      <c r="AN1190" s="100">
        <v>0</v>
      </c>
      <c r="AO1190" s="100">
        <v>0</v>
      </c>
      <c r="AP1190" s="100">
        <f t="shared" si="692"/>
        <v>137167</v>
      </c>
      <c r="AQ1190" s="101">
        <f t="shared" si="704"/>
        <v>2880494</v>
      </c>
      <c r="AR1190" s="101">
        <v>0</v>
      </c>
      <c r="AS1190" s="101">
        <v>0</v>
      </c>
      <c r="AT1190" s="102" t="s">
        <v>33</v>
      </c>
      <c r="AU1190" s="109">
        <v>7</v>
      </c>
      <c r="AV1190" s="100">
        <f>17.63-13.13</f>
        <v>4.4999999999999982</v>
      </c>
      <c r="AW1190" s="105">
        <v>0</v>
      </c>
      <c r="AX1190" s="216">
        <f t="shared" si="719"/>
        <v>0.88860859672553527</v>
      </c>
      <c r="AY1190" s="217">
        <f t="shared" si="720"/>
        <v>24163</v>
      </c>
      <c r="AZ1190" s="107"/>
      <c r="BA1190" s="94">
        <v>45726.1875</v>
      </c>
      <c r="BB1190" s="94">
        <v>45726.197916666664</v>
      </c>
      <c r="BC1190" s="94">
        <v>45726.197916666664</v>
      </c>
      <c r="BD1190" s="94">
        <v>45726.329861111109</v>
      </c>
      <c r="BE1190" s="95">
        <f t="shared" si="698"/>
        <v>0.14236111110949423</v>
      </c>
      <c r="BF1190" s="95">
        <v>4.8611111111111112E-3</v>
      </c>
      <c r="BG1190" s="95">
        <v>0</v>
      </c>
      <c r="BH1190" s="95">
        <f t="shared" si="721"/>
        <v>1.0416666664241347E-2</v>
      </c>
      <c r="BI1190" s="95">
        <f t="shared" si="721"/>
        <v>0</v>
      </c>
      <c r="BJ1190" s="95">
        <f t="shared" si="721"/>
        <v>0.13194444444525288</v>
      </c>
      <c r="BK1190" s="95">
        <f t="shared" si="722"/>
        <v>0.13194444444525288</v>
      </c>
      <c r="BL1190" s="95">
        <f t="shared" si="723"/>
        <v>0.12708333333414176</v>
      </c>
      <c r="BM1190" s="95" t="str">
        <f t="shared" si="724"/>
        <v>00:00</v>
      </c>
      <c r="BN1190" s="110"/>
    </row>
    <row r="1191" spans="1:66" s="8" customFormat="1" ht="12.75" customHeight="1" x14ac:dyDescent="0.25">
      <c r="A1191" s="150">
        <v>1097</v>
      </c>
      <c r="B1191" s="150">
        <v>31</v>
      </c>
      <c r="C1191" s="90">
        <v>11</v>
      </c>
      <c r="D1191" s="111" t="s">
        <v>148</v>
      </c>
      <c r="E1191" s="210" t="s">
        <v>1124</v>
      </c>
      <c r="F1191" s="150" t="s">
        <v>16</v>
      </c>
      <c r="G1191" s="150" t="s">
        <v>17</v>
      </c>
      <c r="H1191" s="150" t="s">
        <v>150</v>
      </c>
      <c r="I1191" s="150" t="s">
        <v>862</v>
      </c>
      <c r="J1191" s="151">
        <v>45724</v>
      </c>
      <c r="K1191" s="135" t="s">
        <v>117</v>
      </c>
      <c r="L1191" s="135">
        <v>461000805</v>
      </c>
      <c r="M1191" s="151">
        <v>45726</v>
      </c>
      <c r="N1191" s="152">
        <v>45726.333333333336</v>
      </c>
      <c r="O1191" s="152">
        <v>45726.333333333336</v>
      </c>
      <c r="P1191" s="152">
        <v>45726.336805555555</v>
      </c>
      <c r="Q1191" s="152">
        <v>45726.520833333336</v>
      </c>
      <c r="R1191" s="152" t="s">
        <v>118</v>
      </c>
      <c r="S1191" s="152" t="s">
        <v>118</v>
      </c>
      <c r="T1191" s="152">
        <v>45726.5625</v>
      </c>
      <c r="U1191" s="152">
        <v>45726.693749999999</v>
      </c>
      <c r="V1191" s="219">
        <f t="shared" si="717"/>
        <v>0.1875</v>
      </c>
      <c r="W1191" s="203">
        <v>0.20833333333333334</v>
      </c>
      <c r="X1191" s="219" t="str">
        <f t="shared" si="718"/>
        <v>00:00</v>
      </c>
      <c r="Y1191" s="96">
        <v>0</v>
      </c>
      <c r="Z1191" s="96">
        <v>59</v>
      </c>
      <c r="AA1191" s="96">
        <f t="shared" si="703"/>
        <v>59</v>
      </c>
      <c r="AB1191" s="97">
        <f t="shared" si="713"/>
        <v>0</v>
      </c>
      <c r="AC1191" s="97">
        <f t="shared" si="714"/>
        <v>4044.01</v>
      </c>
      <c r="AD1191" s="98">
        <v>4044.01</v>
      </c>
      <c r="AE1191" s="98">
        <v>4096.3999999999996</v>
      </c>
      <c r="AF1191" s="98">
        <v>4101.8</v>
      </c>
      <c r="AG1191" s="98">
        <f t="shared" si="715"/>
        <v>57.789999999999964</v>
      </c>
      <c r="AH1191" s="99">
        <v>672.5</v>
      </c>
      <c r="AI1191" s="100">
        <f t="shared" si="716"/>
        <v>2758460.5</v>
      </c>
      <c r="AJ1191" s="100">
        <f>(1.4*AH1191)*2</f>
        <v>1882.9999999999998</v>
      </c>
      <c r="AK1191" s="100">
        <v>0</v>
      </c>
      <c r="AL1191" s="100">
        <v>0</v>
      </c>
      <c r="AM1191" s="100">
        <v>0</v>
      </c>
      <c r="AN1191" s="100">
        <v>0</v>
      </c>
      <c r="AO1191" s="100">
        <v>0</v>
      </c>
      <c r="AP1191" s="100">
        <f t="shared" si="692"/>
        <v>138018</v>
      </c>
      <c r="AQ1191" s="101">
        <f t="shared" si="704"/>
        <v>2898362</v>
      </c>
      <c r="AR1191" s="101">
        <v>0</v>
      </c>
      <c r="AS1191" s="101">
        <v>0</v>
      </c>
      <c r="AT1191" s="102" t="s">
        <v>33</v>
      </c>
      <c r="AU1191" s="109" t="s">
        <v>118</v>
      </c>
      <c r="AV1191" s="100">
        <v>0</v>
      </c>
      <c r="AW1191" s="105">
        <v>0</v>
      </c>
      <c r="AX1191" s="216">
        <f t="shared" si="719"/>
        <v>1.4088936564435117</v>
      </c>
      <c r="AY1191" s="217">
        <f t="shared" si="720"/>
        <v>38864</v>
      </c>
      <c r="AZ1191" s="107"/>
      <c r="BA1191" s="94">
        <v>45726.333333333336</v>
      </c>
      <c r="BB1191" s="94">
        <v>45726.336805555555</v>
      </c>
      <c r="BC1191" s="94">
        <v>45726.347222222219</v>
      </c>
      <c r="BD1191" s="94">
        <v>45726.470833333333</v>
      </c>
      <c r="BE1191" s="95">
        <f t="shared" si="698"/>
        <v>0.13749999999708962</v>
      </c>
      <c r="BF1191" s="95">
        <v>1.0416666666666666E-2</v>
      </c>
      <c r="BG1191" s="95">
        <v>0</v>
      </c>
      <c r="BH1191" s="95">
        <f t="shared" si="721"/>
        <v>3.4722222189884633E-3</v>
      </c>
      <c r="BI1191" s="95">
        <f t="shared" si="721"/>
        <v>1.0416666664241347E-2</v>
      </c>
      <c r="BJ1191" s="95">
        <f t="shared" si="721"/>
        <v>0.12361111111385981</v>
      </c>
      <c r="BK1191" s="95">
        <f t="shared" si="722"/>
        <v>0.13402777777810115</v>
      </c>
      <c r="BL1191" s="95">
        <f t="shared" si="723"/>
        <v>0.12361111111143448</v>
      </c>
      <c r="BM1191" s="95" t="str">
        <f t="shared" si="724"/>
        <v>00:00</v>
      </c>
      <c r="BN1191" s="110"/>
    </row>
    <row r="1192" spans="1:66" s="8" customFormat="1" ht="12.75" customHeight="1" x14ac:dyDescent="0.25">
      <c r="A1192" s="150">
        <v>1098</v>
      </c>
      <c r="B1192" s="150">
        <v>32</v>
      </c>
      <c r="C1192" s="90">
        <v>12</v>
      </c>
      <c r="D1192" s="111" t="s">
        <v>148</v>
      </c>
      <c r="E1192" s="210" t="s">
        <v>1124</v>
      </c>
      <c r="F1192" s="150" t="s">
        <v>16</v>
      </c>
      <c r="G1192" s="150" t="s">
        <v>17</v>
      </c>
      <c r="H1192" s="150" t="s">
        <v>150</v>
      </c>
      <c r="I1192" s="150" t="s">
        <v>873</v>
      </c>
      <c r="J1192" s="151">
        <v>45724</v>
      </c>
      <c r="K1192" s="135" t="s">
        <v>122</v>
      </c>
      <c r="L1192" s="135">
        <v>461000806</v>
      </c>
      <c r="M1192" s="151">
        <v>45726</v>
      </c>
      <c r="N1192" s="152">
        <v>45726.59375</v>
      </c>
      <c r="O1192" s="152">
        <v>45726.59375</v>
      </c>
      <c r="P1192" s="152">
        <v>45726.597222222219</v>
      </c>
      <c r="Q1192" s="152">
        <v>45726.78125</v>
      </c>
      <c r="R1192" s="152" t="s">
        <v>118</v>
      </c>
      <c r="S1192" s="152" t="s">
        <v>118</v>
      </c>
      <c r="T1192" s="152">
        <v>45726.875</v>
      </c>
      <c r="U1192" s="152">
        <v>45726.959722222222</v>
      </c>
      <c r="V1192" s="219">
        <f t="shared" si="717"/>
        <v>0.1875</v>
      </c>
      <c r="W1192" s="203">
        <v>0.20833333333333334</v>
      </c>
      <c r="X1192" s="219" t="str">
        <f t="shared" si="718"/>
        <v>00:00</v>
      </c>
      <c r="Y1192" s="96">
        <v>0</v>
      </c>
      <c r="Z1192" s="96">
        <v>57</v>
      </c>
      <c r="AA1192" s="96">
        <f t="shared" si="703"/>
        <v>57</v>
      </c>
      <c r="AB1192" s="97">
        <f t="shared" si="713"/>
        <v>0</v>
      </c>
      <c r="AC1192" s="97">
        <f t="shared" si="714"/>
        <v>3891.8500000000004</v>
      </c>
      <c r="AD1192" s="98">
        <v>3891.85</v>
      </c>
      <c r="AE1192" s="98">
        <v>3955.2</v>
      </c>
      <c r="AF1192" s="98">
        <v>3958.4</v>
      </c>
      <c r="AG1192" s="98">
        <f t="shared" si="715"/>
        <v>66.550000000000182</v>
      </c>
      <c r="AH1192" s="99">
        <v>672.5</v>
      </c>
      <c r="AI1192" s="100">
        <f t="shared" si="716"/>
        <v>2662024</v>
      </c>
      <c r="AJ1192" s="100">
        <f>(0.8*AH1192)*2</f>
        <v>1076</v>
      </c>
      <c r="AK1192" s="100">
        <v>0</v>
      </c>
      <c r="AL1192" s="100">
        <v>0</v>
      </c>
      <c r="AM1192" s="100">
        <v>0</v>
      </c>
      <c r="AN1192" s="100">
        <v>0</v>
      </c>
      <c r="AO1192" s="100">
        <v>0</v>
      </c>
      <c r="AP1192" s="100">
        <f t="shared" si="692"/>
        <v>133155</v>
      </c>
      <c r="AQ1192" s="101">
        <f t="shared" si="704"/>
        <v>2796255</v>
      </c>
      <c r="AR1192" s="101">
        <v>0</v>
      </c>
      <c r="AS1192" s="101">
        <v>0</v>
      </c>
      <c r="AT1192" s="102" t="s">
        <v>33</v>
      </c>
      <c r="AU1192" s="109" t="s">
        <v>118</v>
      </c>
      <c r="AV1192" s="100">
        <v>0</v>
      </c>
      <c r="AW1192" s="105">
        <v>0</v>
      </c>
      <c r="AX1192" s="216">
        <f t="shared" si="719"/>
        <v>1.6812348423605545</v>
      </c>
      <c r="AY1192" s="217">
        <f t="shared" si="720"/>
        <v>44755</v>
      </c>
      <c r="AZ1192" s="107"/>
      <c r="BA1192" s="94">
        <v>45726.59375</v>
      </c>
      <c r="BB1192" s="94">
        <v>45726.597222222219</v>
      </c>
      <c r="BC1192" s="94">
        <v>45726.597222222219</v>
      </c>
      <c r="BD1192" s="94">
        <v>45726.706250000003</v>
      </c>
      <c r="BE1192" s="95">
        <f t="shared" si="698"/>
        <v>0.11250000000291038</v>
      </c>
      <c r="BF1192" s="95">
        <v>0</v>
      </c>
      <c r="BG1192" s="95">
        <v>0</v>
      </c>
      <c r="BH1192" s="95">
        <f t="shared" si="721"/>
        <v>3.4722222189884633E-3</v>
      </c>
      <c r="BI1192" s="95">
        <f t="shared" si="721"/>
        <v>0</v>
      </c>
      <c r="BJ1192" s="95">
        <f t="shared" si="721"/>
        <v>0.10902777778392192</v>
      </c>
      <c r="BK1192" s="95">
        <f t="shared" si="722"/>
        <v>0.10902777778392192</v>
      </c>
      <c r="BL1192" s="95">
        <f t="shared" si="723"/>
        <v>0.10902777778392192</v>
      </c>
      <c r="BM1192" s="95" t="str">
        <f t="shared" si="724"/>
        <v>00:00</v>
      </c>
      <c r="BN1192" s="110"/>
    </row>
    <row r="1193" spans="1:66" s="8" customFormat="1" ht="12.75" customHeight="1" x14ac:dyDescent="0.25">
      <c r="A1193" s="150">
        <v>1099</v>
      </c>
      <c r="B1193" s="150">
        <v>33</v>
      </c>
      <c r="C1193" s="90">
        <v>13</v>
      </c>
      <c r="D1193" s="111" t="s">
        <v>148</v>
      </c>
      <c r="E1193" s="210" t="s">
        <v>1124</v>
      </c>
      <c r="F1193" s="150" t="s">
        <v>16</v>
      </c>
      <c r="G1193" s="150" t="s">
        <v>17</v>
      </c>
      <c r="H1193" s="150" t="s">
        <v>150</v>
      </c>
      <c r="I1193" s="150" t="s">
        <v>877</v>
      </c>
      <c r="J1193" s="151">
        <v>45726</v>
      </c>
      <c r="K1193" s="135" t="s">
        <v>122</v>
      </c>
      <c r="L1193" s="135">
        <v>461000807</v>
      </c>
      <c r="M1193" s="151">
        <v>45727</v>
      </c>
      <c r="N1193" s="152">
        <v>45727.395833333336</v>
      </c>
      <c r="O1193" s="152">
        <v>45727.395833333336</v>
      </c>
      <c r="P1193" s="152">
        <v>45727.40625</v>
      </c>
      <c r="Q1193" s="152">
        <v>45727.583333333336</v>
      </c>
      <c r="R1193" s="152" t="s">
        <v>118</v>
      </c>
      <c r="S1193" s="152" t="s">
        <v>118</v>
      </c>
      <c r="T1193" s="152">
        <v>45727.604166666664</v>
      </c>
      <c r="U1193" s="152">
        <v>45727.709722222222</v>
      </c>
      <c r="V1193" s="219">
        <f t="shared" si="717"/>
        <v>0.1875</v>
      </c>
      <c r="W1193" s="203">
        <v>0.20833333333333334</v>
      </c>
      <c r="X1193" s="219" t="str">
        <f t="shared" si="718"/>
        <v>00:00</v>
      </c>
      <c r="Y1193" s="96">
        <v>0</v>
      </c>
      <c r="Z1193" s="96">
        <v>59</v>
      </c>
      <c r="AA1193" s="96">
        <f t="shared" si="703"/>
        <v>59</v>
      </c>
      <c r="AB1193" s="97">
        <f t="shared" si="713"/>
        <v>0</v>
      </c>
      <c r="AC1193" s="97">
        <f t="shared" si="714"/>
        <v>4048.79</v>
      </c>
      <c r="AD1193" s="98">
        <v>4048.79</v>
      </c>
      <c r="AE1193" s="98">
        <v>4113.8</v>
      </c>
      <c r="AF1193" s="98">
        <v>4115.3999999999996</v>
      </c>
      <c r="AG1193" s="98">
        <f t="shared" si="715"/>
        <v>66.609999999999673</v>
      </c>
      <c r="AH1193" s="99">
        <v>672.5</v>
      </c>
      <c r="AI1193" s="100">
        <f t="shared" si="716"/>
        <v>2767606.4999999995</v>
      </c>
      <c r="AJ1193" s="100">
        <f>(0.4*AH1193)*2</f>
        <v>538</v>
      </c>
      <c r="AK1193" s="100">
        <v>0</v>
      </c>
      <c r="AL1193" s="100">
        <v>0</v>
      </c>
      <c r="AM1193" s="100">
        <v>0</v>
      </c>
      <c r="AN1193" s="100">
        <v>0</v>
      </c>
      <c r="AO1193" s="100">
        <v>0</v>
      </c>
      <c r="AP1193" s="100">
        <f t="shared" si="692"/>
        <v>138408</v>
      </c>
      <c r="AQ1193" s="101">
        <f t="shared" si="704"/>
        <v>2906553</v>
      </c>
      <c r="AR1193" s="101">
        <v>0</v>
      </c>
      <c r="AS1193" s="101">
        <v>0</v>
      </c>
      <c r="AT1193" s="102" t="s">
        <v>33</v>
      </c>
      <c r="AU1193" s="109" t="s">
        <v>118</v>
      </c>
      <c r="AV1193" s="100">
        <v>0</v>
      </c>
      <c r="AW1193" s="105">
        <v>0</v>
      </c>
      <c r="AX1193" s="216">
        <f t="shared" si="719"/>
        <v>1.618554696991779</v>
      </c>
      <c r="AY1193" s="217">
        <f t="shared" si="720"/>
        <v>44796</v>
      </c>
      <c r="AZ1193" s="107"/>
      <c r="BA1193" s="94">
        <v>45727.395833333336</v>
      </c>
      <c r="BB1193" s="94">
        <v>45727.40625</v>
      </c>
      <c r="BC1193" s="94">
        <v>45727.40625</v>
      </c>
      <c r="BD1193" s="94">
        <v>45727.53402777778</v>
      </c>
      <c r="BE1193" s="95">
        <f t="shared" si="698"/>
        <v>0.13819444444379769</v>
      </c>
      <c r="BF1193" s="95">
        <v>5.5555555555555558E-3</v>
      </c>
      <c r="BG1193" s="95">
        <v>0</v>
      </c>
      <c r="BH1193" s="95">
        <f t="shared" si="721"/>
        <v>1.0416666664241347E-2</v>
      </c>
      <c r="BI1193" s="95">
        <f t="shared" si="721"/>
        <v>0</v>
      </c>
      <c r="BJ1193" s="95">
        <f t="shared" si="721"/>
        <v>0.12777777777955635</v>
      </c>
      <c r="BK1193" s="95">
        <f t="shared" si="722"/>
        <v>0.12777777777955635</v>
      </c>
      <c r="BL1193" s="95">
        <f t="shared" si="723"/>
        <v>0.1222222222240008</v>
      </c>
      <c r="BM1193" s="95" t="str">
        <f t="shared" si="724"/>
        <v>00:00</v>
      </c>
      <c r="BN1193" s="110"/>
    </row>
    <row r="1194" spans="1:66" s="8" customFormat="1" ht="12.75" customHeight="1" x14ac:dyDescent="0.25">
      <c r="A1194" s="115">
        <v>1100</v>
      </c>
      <c r="B1194" s="115">
        <v>34</v>
      </c>
      <c r="C1194" s="90">
        <v>6</v>
      </c>
      <c r="D1194" s="115" t="s">
        <v>113</v>
      </c>
      <c r="E1194" s="210" t="s">
        <v>1082</v>
      </c>
      <c r="F1194" s="115" t="s">
        <v>27</v>
      </c>
      <c r="G1194" s="115" t="s">
        <v>12</v>
      </c>
      <c r="H1194" s="115" t="s">
        <v>115</v>
      </c>
      <c r="I1194" s="115" t="s">
        <v>1128</v>
      </c>
      <c r="J1194" s="117">
        <v>45727</v>
      </c>
      <c r="K1194" s="116" t="s">
        <v>117</v>
      </c>
      <c r="L1194" s="116">
        <v>282001144</v>
      </c>
      <c r="M1194" s="117">
        <v>45728</v>
      </c>
      <c r="N1194" s="118">
        <v>45727.559027777781</v>
      </c>
      <c r="O1194" s="118">
        <v>45727.559027777781</v>
      </c>
      <c r="P1194" s="118">
        <v>45727.565972222219</v>
      </c>
      <c r="Q1194" s="118">
        <v>45727.760416666664</v>
      </c>
      <c r="R1194" s="118" t="s">
        <v>118</v>
      </c>
      <c r="S1194" s="118" t="s">
        <v>118</v>
      </c>
      <c r="T1194" s="118">
        <v>45727.8125</v>
      </c>
      <c r="U1194" s="118">
        <v>45727.861805555556</v>
      </c>
      <c r="V1194" s="119">
        <f t="shared" si="717"/>
        <v>0.20138888888322981</v>
      </c>
      <c r="W1194" s="185">
        <v>0.20833333333333334</v>
      </c>
      <c r="X1194" s="119" t="str">
        <f t="shared" si="718"/>
        <v>00:00</v>
      </c>
      <c r="Y1194" s="96">
        <v>0</v>
      </c>
      <c r="Z1194" s="96">
        <v>17</v>
      </c>
      <c r="AA1194" s="96">
        <f t="shared" si="703"/>
        <v>17</v>
      </c>
      <c r="AB1194" s="97">
        <f t="shared" si="713"/>
        <v>0</v>
      </c>
      <c r="AC1194" s="97">
        <f t="shared" si="714"/>
        <v>1122.6799999999998</v>
      </c>
      <c r="AD1194" s="98">
        <f>3829.22-2706.54</f>
        <v>1122.6799999999998</v>
      </c>
      <c r="AE1194" s="98">
        <f>3959.5-2778.7</f>
        <v>1180.8000000000002</v>
      </c>
      <c r="AF1194" s="98">
        <f>3960.6-2777.8</f>
        <v>1182.7999999999997</v>
      </c>
      <c r="AG1194" s="98">
        <f t="shared" si="715"/>
        <v>60.119999999999891</v>
      </c>
      <c r="AH1194" s="99">
        <v>1586.7</v>
      </c>
      <c r="AI1194" s="100">
        <f t="shared" si="716"/>
        <v>1876748.7599999995</v>
      </c>
      <c r="AJ1194" s="100">
        <f>(0.2*AH1194)*2</f>
        <v>634.68000000000006</v>
      </c>
      <c r="AK1194" s="100">
        <v>0</v>
      </c>
      <c r="AL1194" s="100">
        <v>0</v>
      </c>
      <c r="AM1194" s="100">
        <v>0</v>
      </c>
      <c r="AN1194" s="100">
        <v>0</v>
      </c>
      <c r="AO1194" s="100">
        <f>IFERROR(AF1194*20+(((AJ1194/AH1194)/2)*20),0)</f>
        <v>23659.999999999993</v>
      </c>
      <c r="AP1194" s="100">
        <f>ROUNDUP(SUM(AI1194:AO1194)*5%,0)-1</f>
        <v>95052</v>
      </c>
      <c r="AQ1194" s="101">
        <f>ROUNDUP(SUM(AI1194:AP1194),0)-1</f>
        <v>1996095</v>
      </c>
      <c r="AR1194" s="101">
        <v>0</v>
      </c>
      <c r="AS1194" s="101">
        <v>0</v>
      </c>
      <c r="AT1194" s="137" t="s">
        <v>33</v>
      </c>
      <c r="AU1194" s="120" t="s">
        <v>118</v>
      </c>
      <c r="AV1194" s="121">
        <v>0</v>
      </c>
      <c r="AW1194" s="105">
        <v>0</v>
      </c>
      <c r="AX1194" s="140">
        <f>IFERROR(((AG1194+AG1195)/(AF1194+AF1195))*100, "")</f>
        <v>3.3171741655304778</v>
      </c>
      <c r="AY1194" s="141">
        <f>ROUNDUP((AG1194+AG1195)*AH1194,0)</f>
        <v>208461</v>
      </c>
      <c r="AZ1194" s="107"/>
      <c r="BA1194" s="118">
        <v>45727.559027777781</v>
      </c>
      <c r="BB1194" s="118">
        <v>45727.565972222219</v>
      </c>
      <c r="BC1194" s="118">
        <v>45727.565972222219</v>
      </c>
      <c r="BD1194" s="118">
        <v>45727.736111111109</v>
      </c>
      <c r="BE1194" s="119">
        <f t="shared" si="698"/>
        <v>0.17708333332848269</v>
      </c>
      <c r="BF1194" s="119">
        <v>0</v>
      </c>
      <c r="BG1194" s="119">
        <v>9.0277777777777769E-3</v>
      </c>
      <c r="BH1194" s="119">
        <f t="shared" si="721"/>
        <v>6.9444444379769266E-3</v>
      </c>
      <c r="BI1194" s="119">
        <f t="shared" si="721"/>
        <v>0</v>
      </c>
      <c r="BJ1194" s="119">
        <f t="shared" si="721"/>
        <v>0.17013888889050577</v>
      </c>
      <c r="BK1194" s="119">
        <f t="shared" si="722"/>
        <v>0.17013888889050577</v>
      </c>
      <c r="BL1194" s="119">
        <f t="shared" si="723"/>
        <v>0.16111111111272799</v>
      </c>
      <c r="BM1194" s="119" t="str">
        <f t="shared" si="724"/>
        <v>00:00</v>
      </c>
      <c r="BN1194" s="110" t="s">
        <v>1129</v>
      </c>
    </row>
    <row r="1195" spans="1:66" s="8" customFormat="1" ht="12.75" customHeight="1" x14ac:dyDescent="0.25">
      <c r="A1195" s="122"/>
      <c r="B1195" s="122"/>
      <c r="C1195" s="90">
        <v>8</v>
      </c>
      <c r="D1195" s="122"/>
      <c r="E1195" s="210" t="s">
        <v>1079</v>
      </c>
      <c r="F1195" s="122"/>
      <c r="G1195" s="122"/>
      <c r="H1195" s="122"/>
      <c r="I1195" s="122"/>
      <c r="J1195" s="124"/>
      <c r="K1195" s="123"/>
      <c r="L1195" s="123"/>
      <c r="M1195" s="124"/>
      <c r="N1195" s="125"/>
      <c r="O1195" s="125"/>
      <c r="P1195" s="125"/>
      <c r="Q1195" s="125"/>
      <c r="R1195" s="125"/>
      <c r="S1195" s="125"/>
      <c r="T1195" s="125"/>
      <c r="U1195" s="125"/>
      <c r="V1195" s="126"/>
      <c r="W1195" s="189"/>
      <c r="X1195" s="126"/>
      <c r="Y1195" s="96">
        <v>0</v>
      </c>
      <c r="Z1195" s="96">
        <v>40</v>
      </c>
      <c r="AA1195" s="96">
        <f t="shared" si="703"/>
        <v>40</v>
      </c>
      <c r="AB1195" s="97">
        <f t="shared" si="713"/>
        <v>0</v>
      </c>
      <c r="AC1195" s="97">
        <f t="shared" si="714"/>
        <v>2706.54</v>
      </c>
      <c r="AD1195" s="98">
        <v>2706.54</v>
      </c>
      <c r="AE1195" s="98">
        <v>2778.7</v>
      </c>
      <c r="AF1195" s="98">
        <v>2777.8</v>
      </c>
      <c r="AG1195" s="98">
        <f t="shared" si="715"/>
        <v>71.260000000000218</v>
      </c>
      <c r="AH1195" s="99">
        <v>1586.7</v>
      </c>
      <c r="AI1195" s="100">
        <f t="shared" si="716"/>
        <v>4407535.2600000007</v>
      </c>
      <c r="AJ1195" s="100">
        <f>(0*AH1195)*2</f>
        <v>0</v>
      </c>
      <c r="AK1195" s="100">
        <v>0</v>
      </c>
      <c r="AL1195" s="100">
        <v>0</v>
      </c>
      <c r="AM1195" s="100">
        <v>0</v>
      </c>
      <c r="AN1195" s="100">
        <v>0</v>
      </c>
      <c r="AO1195" s="100">
        <f>IFERROR(AF1195*20+(((AJ1195/AH1195)/2)*20),0)</f>
        <v>55556</v>
      </c>
      <c r="AP1195" s="100">
        <f t="shared" ref="AP1195:AP1228" si="725">ROUNDUP(SUM(AI1195:AO1195)*5%,0)</f>
        <v>223155</v>
      </c>
      <c r="AQ1195" s="101">
        <f t="shared" ref="AQ1195:AQ1226" si="726">ROUNDUP(SUM(AI1195:AP1195),0)</f>
        <v>4686247</v>
      </c>
      <c r="AR1195" s="101">
        <v>0</v>
      </c>
      <c r="AS1195" s="101">
        <v>0</v>
      </c>
      <c r="AT1195" s="138"/>
      <c r="AU1195" s="127"/>
      <c r="AV1195" s="128"/>
      <c r="AW1195" s="105">
        <v>0</v>
      </c>
      <c r="AX1195" s="144"/>
      <c r="AY1195" s="145"/>
      <c r="AZ1195" s="107"/>
      <c r="BA1195" s="125"/>
      <c r="BB1195" s="125"/>
      <c r="BC1195" s="125"/>
      <c r="BD1195" s="125"/>
      <c r="BE1195" s="126"/>
      <c r="BF1195" s="126"/>
      <c r="BG1195" s="126"/>
      <c r="BH1195" s="126"/>
      <c r="BI1195" s="126"/>
      <c r="BJ1195" s="126"/>
      <c r="BK1195" s="126"/>
      <c r="BL1195" s="126"/>
      <c r="BM1195" s="126"/>
      <c r="BN1195" s="110" t="s">
        <v>1130</v>
      </c>
    </row>
    <row r="1196" spans="1:66" s="8" customFormat="1" ht="12.75" customHeight="1" x14ac:dyDescent="0.25">
      <c r="A1196" s="150">
        <v>1101</v>
      </c>
      <c r="B1196" s="150">
        <v>35</v>
      </c>
      <c r="C1196" s="90">
        <v>14</v>
      </c>
      <c r="D1196" s="111" t="s">
        <v>148</v>
      </c>
      <c r="E1196" s="210" t="s">
        <v>1124</v>
      </c>
      <c r="F1196" s="150" t="s">
        <v>16</v>
      </c>
      <c r="G1196" s="150" t="s">
        <v>17</v>
      </c>
      <c r="H1196" s="150" t="s">
        <v>150</v>
      </c>
      <c r="I1196" s="150" t="s">
        <v>882</v>
      </c>
      <c r="J1196" s="151">
        <v>45726</v>
      </c>
      <c r="K1196" s="135" t="s">
        <v>122</v>
      </c>
      <c r="L1196" s="135">
        <v>461000808</v>
      </c>
      <c r="M1196" s="151">
        <v>45728</v>
      </c>
      <c r="N1196" s="152">
        <v>45727.739583333336</v>
      </c>
      <c r="O1196" s="152">
        <v>45727.739583333336</v>
      </c>
      <c r="P1196" s="152">
        <v>45727.75</v>
      </c>
      <c r="Q1196" s="152">
        <v>45727.916666666664</v>
      </c>
      <c r="R1196" s="152" t="s">
        <v>118</v>
      </c>
      <c r="S1196" s="152" t="s">
        <v>118</v>
      </c>
      <c r="T1196" s="152">
        <v>45728.041666666664</v>
      </c>
      <c r="U1196" s="152">
        <v>45728.119444444441</v>
      </c>
      <c r="V1196" s="219">
        <f t="shared" ref="V1196:V1203" si="727">+Q1196-O1196</f>
        <v>0.17708333332848269</v>
      </c>
      <c r="W1196" s="203">
        <v>0.20833333333333334</v>
      </c>
      <c r="X1196" s="219" t="str">
        <f t="shared" ref="X1196:X1203" si="728">IF(VALUE(V1196)&lt;=VALUE("05:00"),"00:00",VALUE(V1196)-VALUE("05:00"))</f>
        <v>00:00</v>
      </c>
      <c r="Y1196" s="96">
        <v>0</v>
      </c>
      <c r="Z1196" s="96">
        <v>58</v>
      </c>
      <c r="AA1196" s="96">
        <f t="shared" si="703"/>
        <v>58</v>
      </c>
      <c r="AB1196" s="97">
        <f t="shared" si="713"/>
        <v>0</v>
      </c>
      <c r="AC1196" s="97">
        <f t="shared" si="714"/>
        <v>3981.49</v>
      </c>
      <c r="AD1196" s="98">
        <v>3981.49</v>
      </c>
      <c r="AE1196" s="98">
        <v>4044.2</v>
      </c>
      <c r="AF1196" s="98">
        <v>4048.6</v>
      </c>
      <c r="AG1196" s="98">
        <f t="shared" si="715"/>
        <v>67.110000000000127</v>
      </c>
      <c r="AH1196" s="99">
        <v>672.5</v>
      </c>
      <c r="AI1196" s="100">
        <f t="shared" si="716"/>
        <v>2722683.5</v>
      </c>
      <c r="AJ1196" s="100">
        <f>(0.4*AH1196)*2</f>
        <v>538</v>
      </c>
      <c r="AK1196" s="100">
        <v>0</v>
      </c>
      <c r="AL1196" s="100">
        <v>0</v>
      </c>
      <c r="AM1196" s="100">
        <v>0</v>
      </c>
      <c r="AN1196" s="100">
        <v>0</v>
      </c>
      <c r="AO1196" s="100">
        <v>0</v>
      </c>
      <c r="AP1196" s="100">
        <f t="shared" si="725"/>
        <v>136162</v>
      </c>
      <c r="AQ1196" s="101">
        <f t="shared" si="726"/>
        <v>2859384</v>
      </c>
      <c r="AR1196" s="101">
        <v>0</v>
      </c>
      <c r="AS1196" s="101">
        <v>0</v>
      </c>
      <c r="AT1196" s="102" t="s">
        <v>33</v>
      </c>
      <c r="AU1196" s="109" t="s">
        <v>118</v>
      </c>
      <c r="AV1196" s="100">
        <v>0</v>
      </c>
      <c r="AW1196" s="105">
        <v>0</v>
      </c>
      <c r="AX1196" s="216">
        <f t="shared" ref="AX1196:AX1202" si="729">IFERROR((AG1196/AF1196)*100, "")</f>
        <v>1.6576100380378433</v>
      </c>
      <c r="AY1196" s="217">
        <f t="shared" ref="AY1196:AY1202" si="730">ROUNDUP(AG1196*AH1196,0)</f>
        <v>45132</v>
      </c>
      <c r="AZ1196" s="107"/>
      <c r="BA1196" s="94">
        <v>45727.739583333336</v>
      </c>
      <c r="BB1196" s="94">
        <v>45727.75</v>
      </c>
      <c r="BC1196" s="94">
        <v>45727.753472222219</v>
      </c>
      <c r="BD1196" s="94">
        <v>45727.885416666664</v>
      </c>
      <c r="BE1196" s="95">
        <f t="shared" si="698"/>
        <v>0.14583333332848269</v>
      </c>
      <c r="BF1196" s="95">
        <v>3.472222222222222E-3</v>
      </c>
      <c r="BG1196" s="95">
        <v>0</v>
      </c>
      <c r="BH1196" s="95">
        <f t="shared" ref="BH1196:BJ1203" si="731">+BB1196-BA1196</f>
        <v>1.0416666664241347E-2</v>
      </c>
      <c r="BI1196" s="95">
        <f t="shared" si="731"/>
        <v>3.4722222189884633E-3</v>
      </c>
      <c r="BJ1196" s="95">
        <f t="shared" si="731"/>
        <v>0.13194444444525288</v>
      </c>
      <c r="BK1196" s="95">
        <f t="shared" ref="BK1196:BK1203" si="732">+BI1196+BJ1196</f>
        <v>0.13541666666424135</v>
      </c>
      <c r="BL1196" s="95">
        <f t="shared" ref="BL1196:BL1203" si="733">+BE1196-BH1196-BF1196-BG1196</f>
        <v>0.13194444444201914</v>
      </c>
      <c r="BM1196" s="95" t="str">
        <f t="shared" ref="BM1196:BM1203" si="734">IF(VALUE(BE1196)&lt;=VALUE("05:00"),"00:00",VALUE(BE1196)-VALUE("05:00"))</f>
        <v>00:00</v>
      </c>
      <c r="BN1196" s="110"/>
    </row>
    <row r="1197" spans="1:66" s="8" customFormat="1" ht="12.75" customHeight="1" x14ac:dyDescent="0.25">
      <c r="A1197" s="150">
        <v>1102</v>
      </c>
      <c r="B1197" s="150">
        <v>36</v>
      </c>
      <c r="C1197" s="90">
        <v>15</v>
      </c>
      <c r="D1197" s="111" t="s">
        <v>148</v>
      </c>
      <c r="E1197" s="210" t="s">
        <v>1124</v>
      </c>
      <c r="F1197" s="150" t="s">
        <v>16</v>
      </c>
      <c r="G1197" s="150" t="s">
        <v>17</v>
      </c>
      <c r="H1197" s="150" t="s">
        <v>150</v>
      </c>
      <c r="I1197" s="150" t="s">
        <v>886</v>
      </c>
      <c r="J1197" s="151">
        <v>45726</v>
      </c>
      <c r="K1197" s="135" t="s">
        <v>117</v>
      </c>
      <c r="L1197" s="135">
        <v>461000809</v>
      </c>
      <c r="M1197" s="151">
        <v>45728</v>
      </c>
      <c r="N1197" s="152">
        <v>45728.0625</v>
      </c>
      <c r="O1197" s="152">
        <v>45728.0625</v>
      </c>
      <c r="P1197" s="152">
        <v>45728.072916666664</v>
      </c>
      <c r="Q1197" s="152">
        <v>45728.270833333336</v>
      </c>
      <c r="R1197" s="152" t="s">
        <v>118</v>
      </c>
      <c r="S1197" s="152" t="s">
        <v>118</v>
      </c>
      <c r="T1197" s="152">
        <v>45728.291666666664</v>
      </c>
      <c r="U1197" s="152">
        <v>45728.375694444447</v>
      </c>
      <c r="V1197" s="219">
        <f t="shared" si="727"/>
        <v>0.20833333333575865</v>
      </c>
      <c r="W1197" s="203">
        <v>0.20833333333333334</v>
      </c>
      <c r="X1197" s="219">
        <f t="shared" si="728"/>
        <v>2.4253099528692701E-12</v>
      </c>
      <c r="Y1197" s="96">
        <v>0</v>
      </c>
      <c r="Z1197" s="96">
        <v>58</v>
      </c>
      <c r="AA1197" s="96">
        <f t="shared" si="703"/>
        <v>58</v>
      </c>
      <c r="AB1197" s="97">
        <f t="shared" si="713"/>
        <v>0</v>
      </c>
      <c r="AC1197" s="97">
        <f t="shared" si="714"/>
        <v>4028.6999999999994</v>
      </c>
      <c r="AD1197" s="98">
        <v>4028.7</v>
      </c>
      <c r="AE1197" s="98">
        <v>4038.8</v>
      </c>
      <c r="AF1197" s="98">
        <v>4052.8</v>
      </c>
      <c r="AG1197" s="98">
        <f t="shared" si="715"/>
        <v>24.100000000000364</v>
      </c>
      <c r="AH1197" s="99">
        <v>672.5</v>
      </c>
      <c r="AI1197" s="100">
        <f t="shared" si="716"/>
        <v>2725508</v>
      </c>
      <c r="AJ1197" s="100">
        <f>(2.6*AH1197)*2</f>
        <v>3497</v>
      </c>
      <c r="AK1197" s="100">
        <v>0</v>
      </c>
      <c r="AL1197" s="100">
        <v>0</v>
      </c>
      <c r="AM1197" s="100">
        <v>0</v>
      </c>
      <c r="AN1197" s="100">
        <v>0</v>
      </c>
      <c r="AO1197" s="100">
        <v>0</v>
      </c>
      <c r="AP1197" s="100">
        <f t="shared" si="725"/>
        <v>136451</v>
      </c>
      <c r="AQ1197" s="101">
        <f t="shared" si="726"/>
        <v>2865456</v>
      </c>
      <c r="AR1197" s="101">
        <v>0</v>
      </c>
      <c r="AS1197" s="101">
        <v>0</v>
      </c>
      <c r="AT1197" s="102" t="s">
        <v>33</v>
      </c>
      <c r="AU1197" s="109" t="s">
        <v>118</v>
      </c>
      <c r="AV1197" s="100">
        <v>0</v>
      </c>
      <c r="AW1197" s="105">
        <v>0</v>
      </c>
      <c r="AX1197" s="216">
        <f t="shared" si="729"/>
        <v>0.59465061192263036</v>
      </c>
      <c r="AY1197" s="217">
        <f t="shared" si="730"/>
        <v>16208</v>
      </c>
      <c r="AZ1197" s="107"/>
      <c r="BA1197" s="94">
        <v>45728.0625</v>
      </c>
      <c r="BB1197" s="94">
        <v>45728.072916666664</v>
      </c>
      <c r="BC1197" s="94">
        <v>45728.072916666664</v>
      </c>
      <c r="BD1197" s="94">
        <v>45728.26666666667</v>
      </c>
      <c r="BE1197" s="95">
        <f t="shared" si="698"/>
        <v>0.20416666667006211</v>
      </c>
      <c r="BF1197" s="95">
        <v>0</v>
      </c>
      <c r="BG1197" s="95">
        <v>2.9166666666666667E-2</v>
      </c>
      <c r="BH1197" s="95">
        <f t="shared" si="731"/>
        <v>1.0416666664241347E-2</v>
      </c>
      <c r="BI1197" s="95">
        <f t="shared" si="731"/>
        <v>0</v>
      </c>
      <c r="BJ1197" s="95">
        <f t="shared" si="731"/>
        <v>0.19375000000582077</v>
      </c>
      <c r="BK1197" s="95">
        <f t="shared" si="732"/>
        <v>0.19375000000582077</v>
      </c>
      <c r="BL1197" s="95">
        <f t="shared" si="733"/>
        <v>0.16458333333915409</v>
      </c>
      <c r="BM1197" s="95" t="str">
        <f t="shared" si="734"/>
        <v>00:00</v>
      </c>
      <c r="BN1197" s="110"/>
    </row>
    <row r="1198" spans="1:66" s="8" customFormat="1" ht="12.75" customHeight="1" x14ac:dyDescent="0.25">
      <c r="A1198" s="150">
        <v>1103</v>
      </c>
      <c r="B1198" s="150">
        <v>37</v>
      </c>
      <c r="C1198" s="90">
        <v>16</v>
      </c>
      <c r="D1198" s="111" t="s">
        <v>148</v>
      </c>
      <c r="E1198" s="210" t="s">
        <v>1124</v>
      </c>
      <c r="F1198" s="150" t="s">
        <v>16</v>
      </c>
      <c r="G1198" s="150" t="s">
        <v>17</v>
      </c>
      <c r="H1198" s="150" t="s">
        <v>150</v>
      </c>
      <c r="I1198" s="150" t="s">
        <v>887</v>
      </c>
      <c r="J1198" s="151">
        <v>45726</v>
      </c>
      <c r="K1198" s="135" t="s">
        <v>122</v>
      </c>
      <c r="L1198" s="135">
        <v>461000810</v>
      </c>
      <c r="M1198" s="151">
        <v>45729</v>
      </c>
      <c r="N1198" s="152">
        <v>45728.677083333336</v>
      </c>
      <c r="O1198" s="152">
        <v>45728.677083333336</v>
      </c>
      <c r="P1198" s="152">
        <v>45728.684027777781</v>
      </c>
      <c r="Q1198" s="152">
        <v>45728.854166666664</v>
      </c>
      <c r="R1198" s="152" t="s">
        <v>118</v>
      </c>
      <c r="S1198" s="152" t="s">
        <v>118</v>
      </c>
      <c r="T1198" s="152">
        <v>45728.9375</v>
      </c>
      <c r="U1198" s="152">
        <v>45729.060416666667</v>
      </c>
      <c r="V1198" s="219">
        <f t="shared" si="727"/>
        <v>0.17708333332848269</v>
      </c>
      <c r="W1198" s="203">
        <v>0.20833333333333334</v>
      </c>
      <c r="X1198" s="219" t="str">
        <f t="shared" si="728"/>
        <v>00:00</v>
      </c>
      <c r="Y1198" s="96">
        <v>0</v>
      </c>
      <c r="Z1198" s="96">
        <v>58</v>
      </c>
      <c r="AA1198" s="96">
        <f t="shared" si="703"/>
        <v>58</v>
      </c>
      <c r="AB1198" s="97">
        <f t="shared" si="713"/>
        <v>0</v>
      </c>
      <c r="AC1198" s="97">
        <f t="shared" si="714"/>
        <v>4019.63</v>
      </c>
      <c r="AD1198" s="98">
        <v>4019.63</v>
      </c>
      <c r="AE1198" s="98">
        <v>4040.2</v>
      </c>
      <c r="AF1198" s="98">
        <v>4054.2</v>
      </c>
      <c r="AG1198" s="98">
        <f t="shared" si="715"/>
        <v>34.569999999999709</v>
      </c>
      <c r="AH1198" s="99">
        <v>672.5</v>
      </c>
      <c r="AI1198" s="100">
        <f t="shared" si="716"/>
        <v>2726449.5</v>
      </c>
      <c r="AJ1198" s="100">
        <f>(1.4*AH1198)*2</f>
        <v>1882.9999999999998</v>
      </c>
      <c r="AK1198" s="100">
        <v>0</v>
      </c>
      <c r="AL1198" s="100">
        <v>0</v>
      </c>
      <c r="AM1198" s="100">
        <v>0</v>
      </c>
      <c r="AN1198" s="100">
        <v>0</v>
      </c>
      <c r="AO1198" s="100">
        <v>0</v>
      </c>
      <c r="AP1198" s="100">
        <f t="shared" si="725"/>
        <v>136417</v>
      </c>
      <c r="AQ1198" s="101">
        <f t="shared" si="726"/>
        <v>2864750</v>
      </c>
      <c r="AR1198" s="101">
        <v>0</v>
      </c>
      <c r="AS1198" s="101">
        <v>0</v>
      </c>
      <c r="AT1198" s="102" t="s">
        <v>33</v>
      </c>
      <c r="AU1198" s="109" t="s">
        <v>118</v>
      </c>
      <c r="AV1198" s="100">
        <v>0</v>
      </c>
      <c r="AW1198" s="105">
        <v>0</v>
      </c>
      <c r="AX1198" s="216">
        <f t="shared" si="729"/>
        <v>0.85269596961175353</v>
      </c>
      <c r="AY1198" s="217">
        <f t="shared" si="730"/>
        <v>23249</v>
      </c>
      <c r="AZ1198" s="107"/>
      <c r="BA1198" s="94">
        <v>45728.677083333336</v>
      </c>
      <c r="BB1198" s="94">
        <v>45728.684027777781</v>
      </c>
      <c r="BC1198" s="94">
        <v>45728.697916666664</v>
      </c>
      <c r="BD1198" s="94">
        <v>45728.8125</v>
      </c>
      <c r="BE1198" s="95">
        <f t="shared" si="698"/>
        <v>0.13541666666424135</v>
      </c>
      <c r="BF1198" s="95">
        <v>0</v>
      </c>
      <c r="BG1198" s="95">
        <v>1.3888888888888888E-2</v>
      </c>
      <c r="BH1198" s="95">
        <f t="shared" si="731"/>
        <v>6.9444444452528842E-3</v>
      </c>
      <c r="BI1198" s="95">
        <f t="shared" si="731"/>
        <v>1.3888888883229811E-2</v>
      </c>
      <c r="BJ1198" s="95">
        <f t="shared" si="731"/>
        <v>0.11458333333575865</v>
      </c>
      <c r="BK1198" s="95">
        <f t="shared" si="732"/>
        <v>0.12847222221898846</v>
      </c>
      <c r="BL1198" s="95">
        <f t="shared" si="733"/>
        <v>0.11458333333009957</v>
      </c>
      <c r="BM1198" s="95" t="str">
        <f t="shared" si="734"/>
        <v>00:00</v>
      </c>
      <c r="BN1198" s="110"/>
    </row>
    <row r="1199" spans="1:66" s="8" customFormat="1" ht="12.75" customHeight="1" x14ac:dyDescent="0.25">
      <c r="A1199" s="150">
        <v>1104</v>
      </c>
      <c r="B1199" s="150">
        <v>38</v>
      </c>
      <c r="C1199" s="90">
        <v>17</v>
      </c>
      <c r="D1199" s="111" t="s">
        <v>148</v>
      </c>
      <c r="E1199" s="210" t="s">
        <v>1124</v>
      </c>
      <c r="F1199" s="150" t="s">
        <v>16</v>
      </c>
      <c r="G1199" s="150" t="s">
        <v>17</v>
      </c>
      <c r="H1199" s="150" t="s">
        <v>150</v>
      </c>
      <c r="I1199" s="150" t="s">
        <v>892</v>
      </c>
      <c r="J1199" s="151">
        <v>45728</v>
      </c>
      <c r="K1199" s="135" t="s">
        <v>117</v>
      </c>
      <c r="L1199" s="135">
        <v>461000811</v>
      </c>
      <c r="M1199" s="151">
        <v>45729</v>
      </c>
      <c r="N1199" s="152">
        <v>45728.84375</v>
      </c>
      <c r="O1199" s="152">
        <v>45728.822916666664</v>
      </c>
      <c r="P1199" s="152">
        <v>45728.847222222219</v>
      </c>
      <c r="Q1199" s="152">
        <v>45728.979166666664</v>
      </c>
      <c r="R1199" s="152">
        <v>45728.84375</v>
      </c>
      <c r="S1199" s="152" t="s">
        <v>118</v>
      </c>
      <c r="T1199" s="152">
        <v>45729.104166666664</v>
      </c>
      <c r="U1199" s="152">
        <v>45729.200694444444</v>
      </c>
      <c r="V1199" s="219">
        <f t="shared" si="727"/>
        <v>0.15625</v>
      </c>
      <c r="W1199" s="203">
        <v>0.20833333333333334</v>
      </c>
      <c r="X1199" s="219" t="str">
        <f t="shared" si="728"/>
        <v>00:00</v>
      </c>
      <c r="Y1199" s="96">
        <v>0</v>
      </c>
      <c r="Z1199" s="96">
        <v>58</v>
      </c>
      <c r="AA1199" s="96">
        <f t="shared" si="703"/>
        <v>58</v>
      </c>
      <c r="AB1199" s="97">
        <f t="shared" si="713"/>
        <v>0</v>
      </c>
      <c r="AC1199" s="97">
        <f t="shared" si="714"/>
        <v>4031.14</v>
      </c>
      <c r="AD1199" s="98">
        <v>4031.14</v>
      </c>
      <c r="AE1199" s="98">
        <v>4056</v>
      </c>
      <c r="AF1199" s="98">
        <v>4064.6</v>
      </c>
      <c r="AG1199" s="98">
        <f t="shared" si="715"/>
        <v>33.460000000000036</v>
      </c>
      <c r="AH1199" s="99">
        <v>672.5</v>
      </c>
      <c r="AI1199" s="100">
        <f t="shared" si="716"/>
        <v>2733443.5</v>
      </c>
      <c r="AJ1199" s="100">
        <f>(0.8*AH1199)*2</f>
        <v>1076</v>
      </c>
      <c r="AK1199" s="100">
        <v>0</v>
      </c>
      <c r="AL1199" s="100">
        <v>0</v>
      </c>
      <c r="AM1199" s="100">
        <v>0</v>
      </c>
      <c r="AN1199" s="100">
        <v>0</v>
      </c>
      <c r="AO1199" s="100">
        <v>0</v>
      </c>
      <c r="AP1199" s="100">
        <f t="shared" si="725"/>
        <v>136726</v>
      </c>
      <c r="AQ1199" s="101">
        <f t="shared" si="726"/>
        <v>2871246</v>
      </c>
      <c r="AR1199" s="101">
        <v>0</v>
      </c>
      <c r="AS1199" s="101">
        <v>0</v>
      </c>
      <c r="AT1199" s="102" t="s">
        <v>33</v>
      </c>
      <c r="AU1199" s="109" t="s">
        <v>118</v>
      </c>
      <c r="AV1199" s="100">
        <v>0</v>
      </c>
      <c r="AW1199" s="105">
        <v>0</v>
      </c>
      <c r="AX1199" s="216">
        <f t="shared" si="729"/>
        <v>0.82320523544752344</v>
      </c>
      <c r="AY1199" s="217">
        <f t="shared" si="730"/>
        <v>22502</v>
      </c>
      <c r="AZ1199" s="107"/>
      <c r="BA1199" s="94">
        <v>45728.84375</v>
      </c>
      <c r="BB1199" s="94">
        <v>45728.847222222219</v>
      </c>
      <c r="BC1199" s="94">
        <v>45728.847222222219</v>
      </c>
      <c r="BD1199" s="94">
        <v>45728.958333333336</v>
      </c>
      <c r="BE1199" s="95">
        <f t="shared" si="698"/>
        <v>0.11458333333575865</v>
      </c>
      <c r="BF1199" s="95">
        <v>0</v>
      </c>
      <c r="BG1199" s="95">
        <v>0</v>
      </c>
      <c r="BH1199" s="95">
        <f t="shared" si="731"/>
        <v>3.4722222189884633E-3</v>
      </c>
      <c r="BI1199" s="95">
        <f t="shared" si="731"/>
        <v>0</v>
      </c>
      <c r="BJ1199" s="95">
        <f t="shared" si="731"/>
        <v>0.11111111111677019</v>
      </c>
      <c r="BK1199" s="95">
        <f t="shared" si="732"/>
        <v>0.11111111111677019</v>
      </c>
      <c r="BL1199" s="95">
        <f t="shared" si="733"/>
        <v>0.11111111111677019</v>
      </c>
      <c r="BM1199" s="95" t="str">
        <f t="shared" si="734"/>
        <v>00:00</v>
      </c>
      <c r="BN1199" s="110"/>
    </row>
    <row r="1200" spans="1:66" s="8" customFormat="1" ht="12.75" customHeight="1" x14ac:dyDescent="0.25">
      <c r="A1200" s="150">
        <v>1105</v>
      </c>
      <c r="B1200" s="150">
        <v>39</v>
      </c>
      <c r="C1200" s="90">
        <v>18</v>
      </c>
      <c r="D1200" s="111" t="s">
        <v>148</v>
      </c>
      <c r="E1200" s="210" t="s">
        <v>1124</v>
      </c>
      <c r="F1200" s="150" t="s">
        <v>16</v>
      </c>
      <c r="G1200" s="150" t="s">
        <v>17</v>
      </c>
      <c r="H1200" s="150" t="s">
        <v>150</v>
      </c>
      <c r="I1200" s="150" t="s">
        <v>894</v>
      </c>
      <c r="J1200" s="151">
        <v>45728</v>
      </c>
      <c r="K1200" s="135" t="s">
        <v>122</v>
      </c>
      <c r="L1200" s="135">
        <v>461000812</v>
      </c>
      <c r="M1200" s="151">
        <v>45729</v>
      </c>
      <c r="N1200" s="152">
        <v>45729.09375</v>
      </c>
      <c r="O1200" s="152">
        <v>45729.083333333336</v>
      </c>
      <c r="P1200" s="152">
        <v>45729.097222222219</v>
      </c>
      <c r="Q1200" s="152">
        <v>45729.260416666664</v>
      </c>
      <c r="R1200" s="152">
        <v>45729.09375</v>
      </c>
      <c r="S1200" s="152" t="s">
        <v>118</v>
      </c>
      <c r="T1200" s="152">
        <v>45729.291666666664</v>
      </c>
      <c r="U1200" s="152">
        <v>45729.402777777781</v>
      </c>
      <c r="V1200" s="219">
        <f t="shared" si="727"/>
        <v>0.17708333332848269</v>
      </c>
      <c r="W1200" s="203">
        <v>0.20833333333333334</v>
      </c>
      <c r="X1200" s="219" t="str">
        <f t="shared" si="728"/>
        <v>00:00</v>
      </c>
      <c r="Y1200" s="96">
        <v>0</v>
      </c>
      <c r="Z1200" s="96">
        <v>58</v>
      </c>
      <c r="AA1200" s="96">
        <f t="shared" si="703"/>
        <v>58</v>
      </c>
      <c r="AB1200" s="97">
        <f t="shared" si="713"/>
        <v>0</v>
      </c>
      <c r="AC1200" s="97">
        <f t="shared" si="714"/>
        <v>3955.4399999999996</v>
      </c>
      <c r="AD1200" s="98">
        <v>3955.44</v>
      </c>
      <c r="AE1200" s="98">
        <v>4010.7</v>
      </c>
      <c r="AF1200" s="98">
        <v>4017.6</v>
      </c>
      <c r="AG1200" s="98">
        <f t="shared" si="715"/>
        <v>62.159999999999854</v>
      </c>
      <c r="AH1200" s="99">
        <v>672.5</v>
      </c>
      <c r="AI1200" s="100">
        <f t="shared" si="716"/>
        <v>2701836</v>
      </c>
      <c r="AJ1200" s="100">
        <f>(1.2*AH1200)*2</f>
        <v>1614</v>
      </c>
      <c r="AK1200" s="100">
        <v>0</v>
      </c>
      <c r="AL1200" s="100">
        <v>0</v>
      </c>
      <c r="AM1200" s="100">
        <v>0</v>
      </c>
      <c r="AN1200" s="100">
        <v>0</v>
      </c>
      <c r="AO1200" s="100">
        <v>0</v>
      </c>
      <c r="AP1200" s="100">
        <f t="shared" si="725"/>
        <v>135173</v>
      </c>
      <c r="AQ1200" s="101">
        <f t="shared" si="726"/>
        <v>2838623</v>
      </c>
      <c r="AR1200" s="101">
        <v>0</v>
      </c>
      <c r="AS1200" s="101">
        <v>0</v>
      </c>
      <c r="AT1200" s="102" t="s">
        <v>33</v>
      </c>
      <c r="AU1200" s="109" t="s">
        <v>118</v>
      </c>
      <c r="AV1200" s="100">
        <v>0</v>
      </c>
      <c r="AW1200" s="105">
        <v>0</v>
      </c>
      <c r="AX1200" s="216">
        <f t="shared" si="729"/>
        <v>1.5471923536439629</v>
      </c>
      <c r="AY1200" s="217">
        <f t="shared" si="730"/>
        <v>41803</v>
      </c>
      <c r="AZ1200" s="107"/>
      <c r="BA1200" s="94">
        <v>45729.09375</v>
      </c>
      <c r="BB1200" s="94">
        <v>45729.097222222219</v>
      </c>
      <c r="BC1200" s="94">
        <v>45729.097222222219</v>
      </c>
      <c r="BD1200" s="94">
        <v>45729.211805555555</v>
      </c>
      <c r="BE1200" s="95">
        <f t="shared" si="698"/>
        <v>0.11805555555474712</v>
      </c>
      <c r="BF1200" s="95">
        <v>6.9444444444444441E-3</v>
      </c>
      <c r="BG1200" s="95">
        <v>0</v>
      </c>
      <c r="BH1200" s="95">
        <f t="shared" si="731"/>
        <v>3.4722222189884633E-3</v>
      </c>
      <c r="BI1200" s="95">
        <f t="shared" si="731"/>
        <v>0</v>
      </c>
      <c r="BJ1200" s="95">
        <f t="shared" si="731"/>
        <v>0.11458333333575865</v>
      </c>
      <c r="BK1200" s="95">
        <f t="shared" si="732"/>
        <v>0.11458333333575865</v>
      </c>
      <c r="BL1200" s="95">
        <f t="shared" si="733"/>
        <v>0.10763888889131421</v>
      </c>
      <c r="BM1200" s="95" t="str">
        <f t="shared" si="734"/>
        <v>00:00</v>
      </c>
      <c r="BN1200" s="110"/>
    </row>
    <row r="1201" spans="1:66" s="8" customFormat="1" ht="12.75" customHeight="1" x14ac:dyDescent="0.25">
      <c r="A1201" s="150">
        <v>1106</v>
      </c>
      <c r="B1201" s="150">
        <v>40</v>
      </c>
      <c r="C1201" s="90">
        <v>19</v>
      </c>
      <c r="D1201" s="111" t="s">
        <v>148</v>
      </c>
      <c r="E1201" s="210" t="s">
        <v>1124</v>
      </c>
      <c r="F1201" s="150" t="s">
        <v>16</v>
      </c>
      <c r="G1201" s="150" t="s">
        <v>17</v>
      </c>
      <c r="H1201" s="150" t="s">
        <v>150</v>
      </c>
      <c r="I1201" s="150" t="s">
        <v>897</v>
      </c>
      <c r="J1201" s="151">
        <v>45728</v>
      </c>
      <c r="K1201" s="135" t="s">
        <v>122</v>
      </c>
      <c r="L1201" s="135">
        <v>461000813</v>
      </c>
      <c r="M1201" s="151">
        <v>45730</v>
      </c>
      <c r="N1201" s="152">
        <v>45729.510416666664</v>
      </c>
      <c r="O1201" s="152">
        <v>45729.5</v>
      </c>
      <c r="P1201" s="152">
        <v>45729.513888888891</v>
      </c>
      <c r="Q1201" s="152">
        <v>45729.697916666664</v>
      </c>
      <c r="R1201" s="152">
        <v>45729.510416666664</v>
      </c>
      <c r="S1201" s="152" t="s">
        <v>118</v>
      </c>
      <c r="T1201" s="152">
        <v>45729.909722222219</v>
      </c>
      <c r="U1201" s="152">
        <v>45730.013194444444</v>
      </c>
      <c r="V1201" s="219">
        <f t="shared" si="727"/>
        <v>0.19791666666424135</v>
      </c>
      <c r="W1201" s="203">
        <v>0.20833333333333334</v>
      </c>
      <c r="X1201" s="219" t="str">
        <f t="shared" si="728"/>
        <v>00:00</v>
      </c>
      <c r="Y1201" s="96">
        <v>0</v>
      </c>
      <c r="Z1201" s="96">
        <v>58</v>
      </c>
      <c r="AA1201" s="96">
        <f t="shared" si="703"/>
        <v>58</v>
      </c>
      <c r="AB1201" s="97">
        <f t="shared" si="713"/>
        <v>0</v>
      </c>
      <c r="AC1201" s="97">
        <f t="shared" si="714"/>
        <v>4003.3800000000006</v>
      </c>
      <c r="AD1201" s="98">
        <v>4003.38</v>
      </c>
      <c r="AE1201" s="98">
        <v>4029.6</v>
      </c>
      <c r="AF1201" s="98">
        <v>4040</v>
      </c>
      <c r="AG1201" s="98">
        <f t="shared" si="715"/>
        <v>36.619999999999891</v>
      </c>
      <c r="AH1201" s="99">
        <v>672.5</v>
      </c>
      <c r="AI1201" s="100">
        <f t="shared" si="716"/>
        <v>2716900</v>
      </c>
      <c r="AJ1201" s="100">
        <f>(1.8*AH1201)*2</f>
        <v>2421</v>
      </c>
      <c r="AK1201" s="100">
        <v>0</v>
      </c>
      <c r="AL1201" s="100">
        <v>0</v>
      </c>
      <c r="AM1201" s="100">
        <v>0</v>
      </c>
      <c r="AN1201" s="100">
        <v>0</v>
      </c>
      <c r="AO1201" s="100">
        <v>0</v>
      </c>
      <c r="AP1201" s="100">
        <f t="shared" si="725"/>
        <v>135967</v>
      </c>
      <c r="AQ1201" s="101">
        <f t="shared" si="726"/>
        <v>2855288</v>
      </c>
      <c r="AR1201" s="101">
        <v>0</v>
      </c>
      <c r="AS1201" s="101">
        <v>0</v>
      </c>
      <c r="AT1201" s="102" t="s">
        <v>33</v>
      </c>
      <c r="AU1201" s="109" t="s">
        <v>118</v>
      </c>
      <c r="AV1201" s="100">
        <v>0</v>
      </c>
      <c r="AW1201" s="105">
        <v>0</v>
      </c>
      <c r="AX1201" s="216">
        <f t="shared" si="729"/>
        <v>0.9064356435643538</v>
      </c>
      <c r="AY1201" s="217">
        <f t="shared" si="730"/>
        <v>24627</v>
      </c>
      <c r="AZ1201" s="107"/>
      <c r="BA1201" s="94">
        <v>45729.510416666664</v>
      </c>
      <c r="BB1201" s="94">
        <v>45729.513888888891</v>
      </c>
      <c r="BC1201" s="94">
        <v>45729.534722222219</v>
      </c>
      <c r="BD1201" s="94">
        <v>45729.681944444441</v>
      </c>
      <c r="BE1201" s="95">
        <f t="shared" si="698"/>
        <v>0.17152777777664596</v>
      </c>
      <c r="BF1201" s="95">
        <v>1.7361111111111112E-2</v>
      </c>
      <c r="BG1201" s="95">
        <v>1.3194444444444444E-2</v>
      </c>
      <c r="BH1201" s="95">
        <f t="shared" si="731"/>
        <v>3.4722222262644209E-3</v>
      </c>
      <c r="BI1201" s="95">
        <f t="shared" si="731"/>
        <v>2.0833333328482695E-2</v>
      </c>
      <c r="BJ1201" s="95">
        <f t="shared" si="731"/>
        <v>0.14722222222189885</v>
      </c>
      <c r="BK1201" s="95">
        <f t="shared" si="732"/>
        <v>0.16805555555038154</v>
      </c>
      <c r="BL1201" s="95">
        <f t="shared" si="733"/>
        <v>0.13749999999482598</v>
      </c>
      <c r="BM1201" s="95" t="str">
        <f t="shared" si="734"/>
        <v>00:00</v>
      </c>
      <c r="BN1201" s="110"/>
    </row>
    <row r="1202" spans="1:66" s="8" customFormat="1" ht="12.75" customHeight="1" x14ac:dyDescent="0.25">
      <c r="A1202" s="150">
        <v>1107</v>
      </c>
      <c r="B1202" s="150">
        <v>41</v>
      </c>
      <c r="C1202" s="90">
        <v>7</v>
      </c>
      <c r="D1202" s="111" t="s">
        <v>113</v>
      </c>
      <c r="E1202" s="210" t="s">
        <v>1079</v>
      </c>
      <c r="F1202" s="150" t="s">
        <v>27</v>
      </c>
      <c r="G1202" s="150" t="s">
        <v>12</v>
      </c>
      <c r="H1202" s="150" t="s">
        <v>115</v>
      </c>
      <c r="I1202" s="150" t="s">
        <v>851</v>
      </c>
      <c r="J1202" s="151">
        <v>45729</v>
      </c>
      <c r="K1202" s="135" t="s">
        <v>117</v>
      </c>
      <c r="L1202" s="135">
        <v>282001145</v>
      </c>
      <c r="M1202" s="151">
        <v>45730</v>
      </c>
      <c r="N1202" s="152">
        <v>45729.708333333336</v>
      </c>
      <c r="O1202" s="152">
        <v>45729.708333333336</v>
      </c>
      <c r="P1202" s="152">
        <v>45729.71875</v>
      </c>
      <c r="Q1202" s="152">
        <v>45729.916666666664</v>
      </c>
      <c r="R1202" s="152" t="s">
        <v>118</v>
      </c>
      <c r="S1202" s="152" t="s">
        <v>118</v>
      </c>
      <c r="T1202" s="152">
        <v>45730.083333333336</v>
      </c>
      <c r="U1202" s="152">
        <v>45730.239583333336</v>
      </c>
      <c r="V1202" s="219">
        <f t="shared" si="727"/>
        <v>0.20833333332848269</v>
      </c>
      <c r="W1202" s="203">
        <v>0.20833333333333334</v>
      </c>
      <c r="X1202" s="219" t="str">
        <f t="shared" si="728"/>
        <v>00:00</v>
      </c>
      <c r="Y1202" s="96">
        <v>0</v>
      </c>
      <c r="Z1202" s="96">
        <v>59</v>
      </c>
      <c r="AA1202" s="96">
        <f t="shared" si="703"/>
        <v>59</v>
      </c>
      <c r="AB1202" s="97">
        <f t="shared" si="713"/>
        <v>0</v>
      </c>
      <c r="AC1202" s="97">
        <f t="shared" si="714"/>
        <v>4077.41</v>
      </c>
      <c r="AD1202" s="98">
        <v>4077.41</v>
      </c>
      <c r="AE1202" s="98">
        <v>4096.3999999999996</v>
      </c>
      <c r="AF1202" s="98">
        <v>4131.6000000000004</v>
      </c>
      <c r="AG1202" s="98">
        <f t="shared" si="715"/>
        <v>54.190000000000509</v>
      </c>
      <c r="AH1202" s="99">
        <v>1586.7</v>
      </c>
      <c r="AI1202" s="100">
        <f t="shared" si="716"/>
        <v>6555609.7200000007</v>
      </c>
      <c r="AJ1202" s="100">
        <f>(0*AH1202)*2</f>
        <v>0</v>
      </c>
      <c r="AK1202" s="100">
        <v>0</v>
      </c>
      <c r="AL1202" s="100">
        <v>24290</v>
      </c>
      <c r="AM1202" s="100">
        <v>0</v>
      </c>
      <c r="AN1202" s="100">
        <v>0</v>
      </c>
      <c r="AO1202" s="100">
        <f>IFERROR(AF1202*20+(((AJ1202/AH1202)/2)*20),0)</f>
        <v>82632</v>
      </c>
      <c r="AP1202" s="100">
        <f t="shared" si="725"/>
        <v>333127</v>
      </c>
      <c r="AQ1202" s="101">
        <f t="shared" si="726"/>
        <v>6995659</v>
      </c>
      <c r="AR1202" s="101">
        <v>0</v>
      </c>
      <c r="AS1202" s="101">
        <v>0</v>
      </c>
      <c r="AT1202" s="102" t="s">
        <v>33</v>
      </c>
      <c r="AU1202" s="109">
        <v>26</v>
      </c>
      <c r="AV1202" s="100">
        <f>58.83-28.83</f>
        <v>30</v>
      </c>
      <c r="AW1202" s="105">
        <v>0</v>
      </c>
      <c r="AX1202" s="216">
        <f t="shared" si="729"/>
        <v>1.311598412237402</v>
      </c>
      <c r="AY1202" s="217">
        <f t="shared" si="730"/>
        <v>85984</v>
      </c>
      <c r="AZ1202" s="107"/>
      <c r="BA1202" s="94">
        <v>45729.708333333336</v>
      </c>
      <c r="BB1202" s="94">
        <v>45729.71875</v>
      </c>
      <c r="BC1202" s="94">
        <v>45729.725694444445</v>
      </c>
      <c r="BD1202" s="94">
        <v>45729.902777777781</v>
      </c>
      <c r="BE1202" s="95">
        <f t="shared" si="698"/>
        <v>0.19444444444525288</v>
      </c>
      <c r="BF1202" s="95">
        <v>0</v>
      </c>
      <c r="BG1202" s="95">
        <v>6.9444444444444441E-3</v>
      </c>
      <c r="BH1202" s="95">
        <f t="shared" si="731"/>
        <v>1.0416666664241347E-2</v>
      </c>
      <c r="BI1202" s="95">
        <f t="shared" si="731"/>
        <v>6.9444444452528842E-3</v>
      </c>
      <c r="BJ1202" s="95">
        <f t="shared" si="731"/>
        <v>0.17708333333575865</v>
      </c>
      <c r="BK1202" s="95">
        <f t="shared" si="732"/>
        <v>0.18402777778101154</v>
      </c>
      <c r="BL1202" s="95">
        <f t="shared" si="733"/>
        <v>0.17708333333656709</v>
      </c>
      <c r="BM1202" s="95" t="str">
        <f t="shared" si="734"/>
        <v>00:00</v>
      </c>
      <c r="BN1202" s="110"/>
    </row>
    <row r="1203" spans="1:66" s="8" customFormat="1" ht="12.75" customHeight="1" x14ac:dyDescent="0.25">
      <c r="A1203" s="115">
        <v>1108</v>
      </c>
      <c r="B1203" s="115">
        <v>42</v>
      </c>
      <c r="C1203" s="90">
        <v>20</v>
      </c>
      <c r="D1203" s="115" t="s">
        <v>148</v>
      </c>
      <c r="E1203" s="210" t="s">
        <v>1124</v>
      </c>
      <c r="F1203" s="115" t="s">
        <v>16</v>
      </c>
      <c r="G1203" s="115" t="s">
        <v>17</v>
      </c>
      <c r="H1203" s="115" t="s">
        <v>150</v>
      </c>
      <c r="I1203" s="115" t="s">
        <v>898</v>
      </c>
      <c r="J1203" s="117">
        <v>45729</v>
      </c>
      <c r="K1203" s="116" t="s">
        <v>122</v>
      </c>
      <c r="L1203" s="116">
        <v>461000814</v>
      </c>
      <c r="M1203" s="117">
        <v>45730</v>
      </c>
      <c r="N1203" s="118">
        <v>45730.104166666664</v>
      </c>
      <c r="O1203" s="118">
        <v>45730.104166666664</v>
      </c>
      <c r="P1203" s="118">
        <v>45730.107638888891</v>
      </c>
      <c r="Q1203" s="118">
        <v>45730.270833333336</v>
      </c>
      <c r="R1203" s="118" t="s">
        <v>118</v>
      </c>
      <c r="S1203" s="118" t="s">
        <v>118</v>
      </c>
      <c r="T1203" s="118">
        <v>45730.291666666664</v>
      </c>
      <c r="U1203" s="118">
        <v>45730.381944444445</v>
      </c>
      <c r="V1203" s="119">
        <f t="shared" si="727"/>
        <v>0.16666666667151731</v>
      </c>
      <c r="W1203" s="185">
        <v>0.20833333333333334</v>
      </c>
      <c r="X1203" s="119" t="str">
        <f t="shared" si="728"/>
        <v>00:00</v>
      </c>
      <c r="Y1203" s="96">
        <v>0</v>
      </c>
      <c r="Z1203" s="96">
        <v>55</v>
      </c>
      <c r="AA1203" s="96">
        <f t="shared" si="703"/>
        <v>55</v>
      </c>
      <c r="AB1203" s="97">
        <f t="shared" si="713"/>
        <v>0</v>
      </c>
      <c r="AC1203" s="97">
        <f t="shared" si="714"/>
        <v>3831.9199999999996</v>
      </c>
      <c r="AD1203" s="98">
        <f>4080.19-248.27</f>
        <v>3831.92</v>
      </c>
      <c r="AE1203" s="98">
        <f>4113.8-280</f>
        <v>3833.8</v>
      </c>
      <c r="AF1203" s="98">
        <f>4123-280</f>
        <v>3843</v>
      </c>
      <c r="AG1203" s="98">
        <f t="shared" si="715"/>
        <v>11.079999999999927</v>
      </c>
      <c r="AH1203" s="99">
        <v>672.5</v>
      </c>
      <c r="AI1203" s="100">
        <f t="shared" si="716"/>
        <v>2584417.5</v>
      </c>
      <c r="AJ1203" s="100">
        <f>(1.4*AH1203)*2</f>
        <v>1882.9999999999998</v>
      </c>
      <c r="AK1203" s="100">
        <v>0</v>
      </c>
      <c r="AL1203" s="100">
        <v>0</v>
      </c>
      <c r="AM1203" s="100">
        <v>0</v>
      </c>
      <c r="AN1203" s="100">
        <v>0</v>
      </c>
      <c r="AO1203" s="100">
        <v>0</v>
      </c>
      <c r="AP1203" s="100">
        <f t="shared" si="725"/>
        <v>129316</v>
      </c>
      <c r="AQ1203" s="101">
        <f t="shared" si="726"/>
        <v>2715617</v>
      </c>
      <c r="AR1203" s="101">
        <v>0</v>
      </c>
      <c r="AS1203" s="101">
        <v>0</v>
      </c>
      <c r="AT1203" s="137" t="s">
        <v>33</v>
      </c>
      <c r="AU1203" s="120" t="s">
        <v>118</v>
      </c>
      <c r="AV1203" s="121">
        <v>0</v>
      </c>
      <c r="AW1203" s="105">
        <v>0</v>
      </c>
      <c r="AX1203" s="140">
        <f>IFERROR(((AG1203+AG1204)/(AF1203+AF1204))*100, "")</f>
        <v>1.0383216104778055</v>
      </c>
      <c r="AY1203" s="141">
        <f>ROUNDUP((AG1203+AG1204)*AH1203,0)</f>
        <v>28790</v>
      </c>
      <c r="AZ1203" s="107"/>
      <c r="BA1203" s="118">
        <v>45730.104166666664</v>
      </c>
      <c r="BB1203" s="118">
        <v>45730.107638888891</v>
      </c>
      <c r="BC1203" s="118">
        <v>45730.107638888891</v>
      </c>
      <c r="BD1203" s="118">
        <v>45730.222222222219</v>
      </c>
      <c r="BE1203" s="119">
        <f t="shared" si="698"/>
        <v>0.11805555555474712</v>
      </c>
      <c r="BF1203" s="119">
        <v>0</v>
      </c>
      <c r="BG1203" s="119">
        <v>0</v>
      </c>
      <c r="BH1203" s="119">
        <f t="shared" si="731"/>
        <v>3.4722222262644209E-3</v>
      </c>
      <c r="BI1203" s="119">
        <f t="shared" si="731"/>
        <v>0</v>
      </c>
      <c r="BJ1203" s="119">
        <f t="shared" si="731"/>
        <v>0.11458333332848269</v>
      </c>
      <c r="BK1203" s="119">
        <f t="shared" si="732"/>
        <v>0.11458333332848269</v>
      </c>
      <c r="BL1203" s="119">
        <f t="shared" si="733"/>
        <v>0.11458333332848269</v>
      </c>
      <c r="BM1203" s="119" t="str">
        <f t="shared" si="734"/>
        <v>00:00</v>
      </c>
      <c r="BN1203" s="110" t="s">
        <v>1131</v>
      </c>
    </row>
    <row r="1204" spans="1:66" s="8" customFormat="1" ht="12.75" customHeight="1" x14ac:dyDescent="0.25">
      <c r="A1204" s="122"/>
      <c r="B1204" s="122"/>
      <c r="C1204" s="90">
        <v>1</v>
      </c>
      <c r="D1204" s="122"/>
      <c r="E1204" s="210" t="s">
        <v>1132</v>
      </c>
      <c r="F1204" s="122"/>
      <c r="G1204" s="122"/>
      <c r="H1204" s="122"/>
      <c r="I1204" s="122"/>
      <c r="J1204" s="124"/>
      <c r="K1204" s="123"/>
      <c r="L1204" s="123"/>
      <c r="M1204" s="124"/>
      <c r="N1204" s="125"/>
      <c r="O1204" s="125"/>
      <c r="P1204" s="125"/>
      <c r="Q1204" s="125"/>
      <c r="R1204" s="125"/>
      <c r="S1204" s="125"/>
      <c r="T1204" s="125"/>
      <c r="U1204" s="125"/>
      <c r="V1204" s="126"/>
      <c r="W1204" s="189"/>
      <c r="X1204" s="126"/>
      <c r="Y1204" s="96">
        <v>0</v>
      </c>
      <c r="Z1204" s="96">
        <v>4</v>
      </c>
      <c r="AA1204" s="96">
        <f t="shared" si="703"/>
        <v>4</v>
      </c>
      <c r="AB1204" s="97">
        <f t="shared" si="713"/>
        <v>0</v>
      </c>
      <c r="AC1204" s="97">
        <f t="shared" si="714"/>
        <v>248.27</v>
      </c>
      <c r="AD1204" s="98">
        <v>248.27</v>
      </c>
      <c r="AE1204" s="98">
        <v>280</v>
      </c>
      <c r="AF1204" s="98">
        <v>280</v>
      </c>
      <c r="AG1204" s="98">
        <f t="shared" si="715"/>
        <v>31.72999999999999</v>
      </c>
      <c r="AH1204" s="99">
        <v>672.5</v>
      </c>
      <c r="AI1204" s="100">
        <f t="shared" si="716"/>
        <v>188300</v>
      </c>
      <c r="AJ1204" s="100">
        <f t="shared" ref="AJ1204:AJ1210" si="735">(0*AH1204)*2</f>
        <v>0</v>
      </c>
      <c r="AK1204" s="100">
        <v>0</v>
      </c>
      <c r="AL1204" s="100">
        <v>0</v>
      </c>
      <c r="AM1204" s="100">
        <v>0</v>
      </c>
      <c r="AN1204" s="100">
        <v>0</v>
      </c>
      <c r="AO1204" s="100">
        <v>0</v>
      </c>
      <c r="AP1204" s="100">
        <f t="shared" si="725"/>
        <v>9415</v>
      </c>
      <c r="AQ1204" s="101">
        <f t="shared" si="726"/>
        <v>197715</v>
      </c>
      <c r="AR1204" s="101">
        <v>0</v>
      </c>
      <c r="AS1204" s="101">
        <v>0</v>
      </c>
      <c r="AT1204" s="138"/>
      <c r="AU1204" s="127"/>
      <c r="AV1204" s="128"/>
      <c r="AW1204" s="105">
        <v>0</v>
      </c>
      <c r="AX1204" s="144"/>
      <c r="AY1204" s="145"/>
      <c r="AZ1204" s="107"/>
      <c r="BA1204" s="125"/>
      <c r="BB1204" s="125"/>
      <c r="BC1204" s="125"/>
      <c r="BD1204" s="125"/>
      <c r="BE1204" s="126"/>
      <c r="BF1204" s="126"/>
      <c r="BG1204" s="126"/>
      <c r="BH1204" s="126"/>
      <c r="BI1204" s="126"/>
      <c r="BJ1204" s="126"/>
      <c r="BK1204" s="126"/>
      <c r="BL1204" s="126"/>
      <c r="BM1204" s="126"/>
      <c r="BN1204" s="110" t="s">
        <v>1133</v>
      </c>
    </row>
    <row r="1205" spans="1:66" s="8" customFormat="1" ht="12.75" customHeight="1" x14ac:dyDescent="0.25">
      <c r="A1205" s="115">
        <v>1109</v>
      </c>
      <c r="B1205" s="115">
        <v>43</v>
      </c>
      <c r="C1205" s="90">
        <v>14</v>
      </c>
      <c r="D1205" s="115" t="s">
        <v>113</v>
      </c>
      <c r="E1205" s="210" t="s">
        <v>1024</v>
      </c>
      <c r="F1205" s="150" t="s">
        <v>32</v>
      </c>
      <c r="G1205" s="90" t="s">
        <v>15</v>
      </c>
      <c r="H1205" s="115" t="s">
        <v>779</v>
      </c>
      <c r="I1205" s="115" t="s">
        <v>1134</v>
      </c>
      <c r="J1205" s="117">
        <v>45730</v>
      </c>
      <c r="K1205" s="116" t="s">
        <v>117</v>
      </c>
      <c r="L1205" s="116">
        <v>261006262</v>
      </c>
      <c r="M1205" s="117">
        <v>45730</v>
      </c>
      <c r="N1205" s="118">
        <v>45730.333333333336</v>
      </c>
      <c r="O1205" s="118">
        <v>45730.333333333336</v>
      </c>
      <c r="P1205" s="118">
        <v>45730.375</v>
      </c>
      <c r="Q1205" s="118">
        <v>45730.53125</v>
      </c>
      <c r="R1205" s="118" t="s">
        <v>118</v>
      </c>
      <c r="S1205" s="118" t="s">
        <v>118</v>
      </c>
      <c r="T1205" s="118">
        <v>45730.583333333336</v>
      </c>
      <c r="U1205" s="118">
        <v>45730.65902777778</v>
      </c>
      <c r="V1205" s="119">
        <f>+Q1205-O1205</f>
        <v>0.19791666666424135</v>
      </c>
      <c r="W1205" s="185">
        <v>0.20833333333333334</v>
      </c>
      <c r="X1205" s="119" t="str">
        <f>IF(VALUE(V1205)&lt;=VALUE("05:00"),"00:00",VALUE(V1205)-VALUE("05:00"))</f>
        <v>00:00</v>
      </c>
      <c r="Y1205" s="96">
        <v>0</v>
      </c>
      <c r="Z1205" s="96">
        <v>23</v>
      </c>
      <c r="AA1205" s="96">
        <f t="shared" si="703"/>
        <v>23</v>
      </c>
      <c r="AB1205" s="97">
        <f t="shared" si="713"/>
        <v>0</v>
      </c>
      <c r="AC1205" s="97">
        <f t="shared" si="714"/>
        <v>1412.9</v>
      </c>
      <c r="AD1205" s="98">
        <f>2767.3-1354.4</f>
        <v>1412.9</v>
      </c>
      <c r="AE1205" s="98">
        <f>2929.5-1432.2</f>
        <v>1497.3</v>
      </c>
      <c r="AF1205" s="98">
        <f>2929.6-1426.4</f>
        <v>1503.1999999999998</v>
      </c>
      <c r="AG1205" s="98">
        <f t="shared" si="715"/>
        <v>90.299999999999727</v>
      </c>
      <c r="AH1205" s="99">
        <v>1435.6</v>
      </c>
      <c r="AI1205" s="100">
        <f t="shared" si="716"/>
        <v>2157993.9199999995</v>
      </c>
      <c r="AJ1205" s="100">
        <f t="shared" si="735"/>
        <v>0</v>
      </c>
      <c r="AK1205" s="100">
        <v>0</v>
      </c>
      <c r="AL1205" s="100">
        <v>0</v>
      </c>
      <c r="AM1205" s="100">
        <v>0</v>
      </c>
      <c r="AN1205" s="100">
        <v>0</v>
      </c>
      <c r="AO1205" s="100">
        <v>0</v>
      </c>
      <c r="AP1205" s="100">
        <f t="shared" si="725"/>
        <v>107900</v>
      </c>
      <c r="AQ1205" s="101">
        <f t="shared" si="726"/>
        <v>2265894</v>
      </c>
      <c r="AR1205" s="101">
        <v>0</v>
      </c>
      <c r="AS1205" s="101">
        <v>0</v>
      </c>
      <c r="AT1205" s="137" t="s">
        <v>36</v>
      </c>
      <c r="AU1205" s="120" t="s">
        <v>118</v>
      </c>
      <c r="AV1205" s="121">
        <v>0</v>
      </c>
      <c r="AW1205" s="105">
        <v>0</v>
      </c>
      <c r="AX1205" s="140">
        <f>IFERROR(((AG1205+AG1206)/(AF1205+AF1206))*100, "")</f>
        <v>5.540005461496448</v>
      </c>
      <c r="AY1205" s="141">
        <f>ROUNDUP((AG1205+AG1206)*AH1205,0)</f>
        <v>232998</v>
      </c>
      <c r="AZ1205" s="107"/>
      <c r="BA1205" s="118">
        <v>45730.333333333336</v>
      </c>
      <c r="BB1205" s="118">
        <v>45730.375</v>
      </c>
      <c r="BC1205" s="118">
        <v>45730.375</v>
      </c>
      <c r="BD1205" s="118">
        <v>45730.486111111109</v>
      </c>
      <c r="BE1205" s="119">
        <f t="shared" si="698"/>
        <v>0.15277777777373558</v>
      </c>
      <c r="BF1205" s="119">
        <v>0</v>
      </c>
      <c r="BG1205" s="119">
        <v>4.8611111111111112E-3</v>
      </c>
      <c r="BH1205" s="119">
        <f t="shared" ref="BH1205:BJ1205" si="736">+BB1205-BA1205</f>
        <v>4.1666666664241347E-2</v>
      </c>
      <c r="BI1205" s="119">
        <f t="shared" si="736"/>
        <v>0</v>
      </c>
      <c r="BJ1205" s="119">
        <f t="shared" si="736"/>
        <v>0.11111111110949423</v>
      </c>
      <c r="BK1205" s="119">
        <f t="shared" ref="BK1205" si="737">+BI1205+BJ1205</f>
        <v>0.11111111110949423</v>
      </c>
      <c r="BL1205" s="119">
        <f t="shared" ref="BL1205" si="738">+BE1205-BH1205-BF1205-BG1205</f>
        <v>0.10624999999838312</v>
      </c>
      <c r="BM1205" s="119" t="str">
        <f t="shared" ref="BM1205" si="739">IF(VALUE(BE1205)&lt;=VALUE("05:00"),"00:00",VALUE(BE1205)-VALUE("05:00"))</f>
        <v>00:00</v>
      </c>
      <c r="BN1205" s="110" t="s">
        <v>1135</v>
      </c>
    </row>
    <row r="1206" spans="1:66" s="8" customFormat="1" ht="12.75" customHeight="1" x14ac:dyDescent="0.25">
      <c r="A1206" s="122"/>
      <c r="B1206" s="122"/>
      <c r="C1206" s="90">
        <v>16</v>
      </c>
      <c r="D1206" s="122"/>
      <c r="E1206" s="210" t="s">
        <v>948</v>
      </c>
      <c r="F1206" s="150" t="s">
        <v>14</v>
      </c>
      <c r="G1206" s="111" t="s">
        <v>15</v>
      </c>
      <c r="H1206" s="122"/>
      <c r="I1206" s="122"/>
      <c r="J1206" s="124"/>
      <c r="K1206" s="123"/>
      <c r="L1206" s="123"/>
      <c r="M1206" s="124"/>
      <c r="N1206" s="125"/>
      <c r="O1206" s="125"/>
      <c r="P1206" s="125"/>
      <c r="Q1206" s="125"/>
      <c r="R1206" s="125"/>
      <c r="S1206" s="125"/>
      <c r="T1206" s="125"/>
      <c r="U1206" s="125"/>
      <c r="V1206" s="126"/>
      <c r="W1206" s="189"/>
      <c r="X1206" s="126"/>
      <c r="Y1206" s="96">
        <v>0</v>
      </c>
      <c r="Z1206" s="96">
        <v>22</v>
      </c>
      <c r="AA1206" s="96">
        <f t="shared" si="703"/>
        <v>22</v>
      </c>
      <c r="AB1206" s="97">
        <f t="shared" si="713"/>
        <v>0</v>
      </c>
      <c r="AC1206" s="97">
        <f t="shared" si="714"/>
        <v>1354.4</v>
      </c>
      <c r="AD1206" s="98">
        <v>1354.4</v>
      </c>
      <c r="AE1206" s="98">
        <v>1432.1999999999996</v>
      </c>
      <c r="AF1206" s="98">
        <v>1426.4000000000003</v>
      </c>
      <c r="AG1206" s="98">
        <f t="shared" si="715"/>
        <v>72.000000000000227</v>
      </c>
      <c r="AH1206" s="99">
        <v>1435.6</v>
      </c>
      <c r="AI1206" s="100">
        <f t="shared" si="716"/>
        <v>2047739.8400000003</v>
      </c>
      <c r="AJ1206" s="100">
        <f t="shared" si="735"/>
        <v>0</v>
      </c>
      <c r="AK1206" s="100">
        <v>0</v>
      </c>
      <c r="AL1206" s="100">
        <v>0</v>
      </c>
      <c r="AM1206" s="100">
        <v>0</v>
      </c>
      <c r="AN1206" s="100">
        <v>0</v>
      </c>
      <c r="AO1206" s="100">
        <v>0</v>
      </c>
      <c r="AP1206" s="100">
        <f t="shared" si="725"/>
        <v>102387</v>
      </c>
      <c r="AQ1206" s="101">
        <f t="shared" si="726"/>
        <v>2150127</v>
      </c>
      <c r="AR1206" s="101">
        <v>0</v>
      </c>
      <c r="AS1206" s="101">
        <v>0</v>
      </c>
      <c r="AT1206" s="138"/>
      <c r="AU1206" s="127"/>
      <c r="AV1206" s="128"/>
      <c r="AW1206" s="105">
        <v>0</v>
      </c>
      <c r="AX1206" s="144"/>
      <c r="AY1206" s="145"/>
      <c r="AZ1206" s="107"/>
      <c r="BA1206" s="125"/>
      <c r="BB1206" s="125"/>
      <c r="BC1206" s="125"/>
      <c r="BD1206" s="125"/>
      <c r="BE1206" s="126"/>
      <c r="BF1206" s="126"/>
      <c r="BG1206" s="126"/>
      <c r="BH1206" s="126"/>
      <c r="BI1206" s="126"/>
      <c r="BJ1206" s="126"/>
      <c r="BK1206" s="126"/>
      <c r="BL1206" s="126"/>
      <c r="BM1206" s="126"/>
      <c r="BN1206" s="110" t="s">
        <v>1136</v>
      </c>
    </row>
    <row r="1207" spans="1:66" s="8" customFormat="1" ht="12.75" customHeight="1" x14ac:dyDescent="0.25">
      <c r="A1207" s="150">
        <v>1110</v>
      </c>
      <c r="B1207" s="150">
        <v>44</v>
      </c>
      <c r="C1207" s="90">
        <v>1</v>
      </c>
      <c r="D1207" s="111" t="s">
        <v>148</v>
      </c>
      <c r="E1207" s="210" t="s">
        <v>1132</v>
      </c>
      <c r="F1207" s="150" t="s">
        <v>16</v>
      </c>
      <c r="G1207" s="150" t="s">
        <v>17</v>
      </c>
      <c r="H1207" s="150" t="s">
        <v>150</v>
      </c>
      <c r="I1207" s="150" t="s">
        <v>901</v>
      </c>
      <c r="J1207" s="151">
        <v>45729</v>
      </c>
      <c r="K1207" s="135" t="s">
        <v>122</v>
      </c>
      <c r="L1207" s="135">
        <v>461000815</v>
      </c>
      <c r="M1207" s="151">
        <v>45730</v>
      </c>
      <c r="N1207" s="152">
        <v>45730.479166666664</v>
      </c>
      <c r="O1207" s="152">
        <v>45730.479166666664</v>
      </c>
      <c r="P1207" s="152">
        <v>45730.482638888891</v>
      </c>
      <c r="Q1207" s="152">
        <v>45730.677083333336</v>
      </c>
      <c r="R1207" s="152" t="s">
        <v>118</v>
      </c>
      <c r="S1207" s="152" t="s">
        <v>118</v>
      </c>
      <c r="T1207" s="152">
        <v>45730.6875</v>
      </c>
      <c r="U1207" s="152">
        <v>45730.788194444445</v>
      </c>
      <c r="V1207" s="219">
        <f t="shared" ref="V1207:V1228" si="740">+Q1207-O1207</f>
        <v>0.19791666667151731</v>
      </c>
      <c r="W1207" s="203">
        <v>0.20833333333333334</v>
      </c>
      <c r="X1207" s="219" t="str">
        <f t="shared" ref="X1207:X1228" si="741">IF(VALUE(V1207)&lt;=VALUE("05:00"),"00:00",VALUE(V1207)-VALUE("05:00"))</f>
        <v>00:00</v>
      </c>
      <c r="Y1207" s="96">
        <v>0</v>
      </c>
      <c r="Z1207" s="96">
        <v>58</v>
      </c>
      <c r="AA1207" s="96">
        <f t="shared" si="703"/>
        <v>58</v>
      </c>
      <c r="AB1207" s="97">
        <f t="shared" si="713"/>
        <v>0</v>
      </c>
      <c r="AC1207" s="97">
        <f t="shared" si="714"/>
        <v>3979.6600000000003</v>
      </c>
      <c r="AD1207" s="98">
        <v>3979.66</v>
      </c>
      <c r="AE1207" s="98">
        <v>4042.8</v>
      </c>
      <c r="AF1207" s="98">
        <v>4047</v>
      </c>
      <c r="AG1207" s="98">
        <f t="shared" si="715"/>
        <v>67.340000000000146</v>
      </c>
      <c r="AH1207" s="99">
        <v>672.5</v>
      </c>
      <c r="AI1207" s="100">
        <f t="shared" si="716"/>
        <v>2721607.5</v>
      </c>
      <c r="AJ1207" s="100">
        <f t="shared" si="735"/>
        <v>0</v>
      </c>
      <c r="AK1207" s="100">
        <v>0</v>
      </c>
      <c r="AL1207" s="100">
        <v>24140</v>
      </c>
      <c r="AM1207" s="100">
        <v>0</v>
      </c>
      <c r="AN1207" s="100">
        <v>0</v>
      </c>
      <c r="AO1207" s="100">
        <v>0</v>
      </c>
      <c r="AP1207" s="100">
        <f t="shared" si="725"/>
        <v>137288</v>
      </c>
      <c r="AQ1207" s="101">
        <f t="shared" si="726"/>
        <v>2883036</v>
      </c>
      <c r="AR1207" s="101">
        <v>0</v>
      </c>
      <c r="AS1207" s="101">
        <v>0</v>
      </c>
      <c r="AT1207" s="102" t="s">
        <v>33</v>
      </c>
      <c r="AU1207" s="109">
        <v>2</v>
      </c>
      <c r="AV1207" s="100">
        <f>5.27-3.77</f>
        <v>1.4999999999999996</v>
      </c>
      <c r="AW1207" s="105">
        <v>0</v>
      </c>
      <c r="AX1207" s="216">
        <f t="shared" ref="AX1207:AX1228" si="742">IFERROR((AG1207/AF1207)*100, "")</f>
        <v>1.66394860390413</v>
      </c>
      <c r="AY1207" s="217">
        <f t="shared" ref="AY1207:AY1228" si="743">ROUNDUP(AG1207*AH1207,0)</f>
        <v>45287</v>
      </c>
      <c r="AZ1207" s="107"/>
      <c r="BA1207" s="94">
        <v>45730.479166666664</v>
      </c>
      <c r="BB1207" s="94">
        <v>45730.482638888891</v>
      </c>
      <c r="BC1207" s="94">
        <v>45730.53125</v>
      </c>
      <c r="BD1207" s="94">
        <v>45730.666666666664</v>
      </c>
      <c r="BE1207" s="95">
        <f t="shared" si="698"/>
        <v>0.1875</v>
      </c>
      <c r="BF1207" s="95">
        <v>4.0972222222222222E-2</v>
      </c>
      <c r="BG1207" s="95">
        <v>3.125E-2</v>
      </c>
      <c r="BH1207" s="95">
        <f t="shared" ref="BH1207:BJ1228" si="744">+BB1207-BA1207</f>
        <v>3.4722222262644209E-3</v>
      </c>
      <c r="BI1207" s="95">
        <f t="shared" si="744"/>
        <v>4.8611111109494232E-2</v>
      </c>
      <c r="BJ1207" s="95">
        <f t="shared" si="744"/>
        <v>0.13541666666424135</v>
      </c>
      <c r="BK1207" s="95">
        <f t="shared" ref="BK1207:BK1228" si="745">+BI1207+BJ1207</f>
        <v>0.18402777777373558</v>
      </c>
      <c r="BL1207" s="95">
        <f t="shared" ref="BL1207:BL1228" si="746">+BE1207-BH1207-BF1207-BG1207</f>
        <v>0.11180555555151336</v>
      </c>
      <c r="BM1207" s="95" t="str">
        <f t="shared" ref="BM1207:BM1228" si="747">IF(VALUE(BE1207)&lt;=VALUE("05:00"),"00:00",VALUE(BE1207)-VALUE("05:00"))</f>
        <v>00:00</v>
      </c>
      <c r="BN1207" s="110"/>
    </row>
    <row r="1208" spans="1:66" s="8" customFormat="1" ht="12.75" customHeight="1" x14ac:dyDescent="0.25">
      <c r="A1208" s="150">
        <v>1111</v>
      </c>
      <c r="B1208" s="150">
        <v>45</v>
      </c>
      <c r="C1208" s="90">
        <v>2</v>
      </c>
      <c r="D1208" s="111" t="s">
        <v>148</v>
      </c>
      <c r="E1208" s="210" t="s">
        <v>1132</v>
      </c>
      <c r="F1208" s="150" t="s">
        <v>16</v>
      </c>
      <c r="G1208" s="150" t="s">
        <v>17</v>
      </c>
      <c r="H1208" s="150" t="s">
        <v>150</v>
      </c>
      <c r="I1208" s="150" t="s">
        <v>1137</v>
      </c>
      <c r="J1208" s="151">
        <v>45729</v>
      </c>
      <c r="K1208" s="135" t="s">
        <v>117</v>
      </c>
      <c r="L1208" s="135">
        <v>461000816</v>
      </c>
      <c r="M1208" s="151">
        <v>45731</v>
      </c>
      <c r="N1208" s="152">
        <v>45730.677083333336</v>
      </c>
      <c r="O1208" s="152">
        <v>45730.677083333336</v>
      </c>
      <c r="P1208" s="152">
        <v>45730.690972222219</v>
      </c>
      <c r="Q1208" s="152">
        <v>45730.875</v>
      </c>
      <c r="R1208" s="152" t="s">
        <v>118</v>
      </c>
      <c r="S1208" s="152" t="s">
        <v>118</v>
      </c>
      <c r="T1208" s="152">
        <v>45730.979166666664</v>
      </c>
      <c r="U1208" s="152">
        <v>45731.083333333336</v>
      </c>
      <c r="V1208" s="219">
        <f t="shared" si="740"/>
        <v>0.19791666666424135</v>
      </c>
      <c r="W1208" s="203">
        <v>0.20833333333333334</v>
      </c>
      <c r="X1208" s="219" t="str">
        <f t="shared" si="741"/>
        <v>00:00</v>
      </c>
      <c r="Y1208" s="96">
        <v>0</v>
      </c>
      <c r="Z1208" s="96">
        <v>58</v>
      </c>
      <c r="AA1208" s="96">
        <f t="shared" si="703"/>
        <v>58</v>
      </c>
      <c r="AB1208" s="97">
        <f t="shared" si="713"/>
        <v>0</v>
      </c>
      <c r="AC1208" s="97">
        <f t="shared" si="714"/>
        <v>3971.51</v>
      </c>
      <c r="AD1208" s="98">
        <v>3971.51</v>
      </c>
      <c r="AE1208" s="98">
        <v>4014.4</v>
      </c>
      <c r="AF1208" s="98">
        <v>4023</v>
      </c>
      <c r="AG1208" s="98">
        <f t="shared" si="715"/>
        <v>51.489999999999782</v>
      </c>
      <c r="AH1208" s="99">
        <v>672.5</v>
      </c>
      <c r="AI1208" s="100">
        <f t="shared" si="716"/>
        <v>2705467.5</v>
      </c>
      <c r="AJ1208" s="100">
        <f t="shared" si="735"/>
        <v>0</v>
      </c>
      <c r="AK1208" s="100">
        <v>0</v>
      </c>
      <c r="AL1208" s="100">
        <v>24140</v>
      </c>
      <c r="AM1208" s="100">
        <v>0</v>
      </c>
      <c r="AN1208" s="100">
        <v>0</v>
      </c>
      <c r="AO1208" s="100">
        <v>0</v>
      </c>
      <c r="AP1208" s="100">
        <f t="shared" si="725"/>
        <v>136481</v>
      </c>
      <c r="AQ1208" s="101">
        <f t="shared" si="726"/>
        <v>2866089</v>
      </c>
      <c r="AR1208" s="101">
        <v>0</v>
      </c>
      <c r="AS1208" s="101">
        <v>0</v>
      </c>
      <c r="AT1208" s="102" t="s">
        <v>33</v>
      </c>
      <c r="AU1208" s="109">
        <v>5</v>
      </c>
      <c r="AV1208" s="100">
        <f>10.47-7.47</f>
        <v>3.0000000000000009</v>
      </c>
      <c r="AW1208" s="105">
        <v>0</v>
      </c>
      <c r="AX1208" s="216">
        <f t="shared" si="742"/>
        <v>1.279890628883912</v>
      </c>
      <c r="AY1208" s="217">
        <f t="shared" si="743"/>
        <v>34628</v>
      </c>
      <c r="AZ1208" s="107"/>
      <c r="BA1208" s="94">
        <v>45730.677083333336</v>
      </c>
      <c r="BB1208" s="94">
        <v>45730.690972222219</v>
      </c>
      <c r="BC1208" s="94">
        <v>45730.690972222219</v>
      </c>
      <c r="BD1208" s="94">
        <v>45730.802083333336</v>
      </c>
      <c r="BE1208" s="95">
        <f t="shared" si="698"/>
        <v>0.125</v>
      </c>
      <c r="BF1208" s="95">
        <v>0</v>
      </c>
      <c r="BG1208" s="95">
        <v>0</v>
      </c>
      <c r="BH1208" s="95">
        <f t="shared" si="744"/>
        <v>1.3888888883229811E-2</v>
      </c>
      <c r="BI1208" s="95">
        <f t="shared" si="744"/>
        <v>0</v>
      </c>
      <c r="BJ1208" s="95">
        <f t="shared" si="744"/>
        <v>0.11111111111677019</v>
      </c>
      <c r="BK1208" s="95">
        <f t="shared" si="745"/>
        <v>0.11111111111677019</v>
      </c>
      <c r="BL1208" s="95">
        <f t="shared" si="746"/>
        <v>0.11111111111677019</v>
      </c>
      <c r="BM1208" s="95" t="str">
        <f t="shared" si="747"/>
        <v>00:00</v>
      </c>
      <c r="BN1208" s="110"/>
    </row>
    <row r="1209" spans="1:66" s="8" customFormat="1" ht="12.75" customHeight="1" x14ac:dyDescent="0.25">
      <c r="A1209" s="150">
        <v>1112</v>
      </c>
      <c r="B1209" s="150">
        <v>46</v>
      </c>
      <c r="C1209" s="90">
        <v>3</v>
      </c>
      <c r="D1209" s="111" t="s">
        <v>148</v>
      </c>
      <c r="E1209" s="210" t="s">
        <v>1132</v>
      </c>
      <c r="F1209" s="150" t="s">
        <v>16</v>
      </c>
      <c r="G1209" s="150" t="s">
        <v>17</v>
      </c>
      <c r="H1209" s="150" t="s">
        <v>150</v>
      </c>
      <c r="I1209" s="150" t="s">
        <v>1138</v>
      </c>
      <c r="J1209" s="151">
        <v>45729</v>
      </c>
      <c r="K1209" s="135" t="s">
        <v>122</v>
      </c>
      <c r="L1209" s="135">
        <v>461000817</v>
      </c>
      <c r="M1209" s="151">
        <v>45731</v>
      </c>
      <c r="N1209" s="152">
        <v>45731.03125</v>
      </c>
      <c r="O1209" s="152">
        <v>45731.03125</v>
      </c>
      <c r="P1209" s="152">
        <v>45731.034722222219</v>
      </c>
      <c r="Q1209" s="152">
        <v>45731.229166666664</v>
      </c>
      <c r="R1209" s="152" t="s">
        <v>118</v>
      </c>
      <c r="S1209" s="152" t="s">
        <v>118</v>
      </c>
      <c r="T1209" s="152">
        <v>45731.270833333336</v>
      </c>
      <c r="U1209" s="152">
        <v>45731.368055555555</v>
      </c>
      <c r="V1209" s="219">
        <f t="shared" si="740"/>
        <v>0.19791666666424135</v>
      </c>
      <c r="W1209" s="203">
        <v>0.20833333333333334</v>
      </c>
      <c r="X1209" s="219" t="str">
        <f t="shared" si="741"/>
        <v>00:00</v>
      </c>
      <c r="Y1209" s="96">
        <v>12</v>
      </c>
      <c r="Z1209" s="96">
        <v>45</v>
      </c>
      <c r="AA1209" s="96">
        <f t="shared" si="703"/>
        <v>57</v>
      </c>
      <c r="AB1209" s="97">
        <f t="shared" si="713"/>
        <v>827.88842105263166</v>
      </c>
      <c r="AC1209" s="97">
        <f t="shared" si="714"/>
        <v>3104.5815789473686</v>
      </c>
      <c r="AD1209" s="98">
        <v>3932.47</v>
      </c>
      <c r="AE1209" s="98">
        <v>3965.6</v>
      </c>
      <c r="AF1209" s="98">
        <v>3978</v>
      </c>
      <c r="AG1209" s="98">
        <f t="shared" si="715"/>
        <v>45.5300000000002</v>
      </c>
      <c r="AH1209" s="99">
        <v>672.5</v>
      </c>
      <c r="AI1209" s="100">
        <f t="shared" si="716"/>
        <v>2675205</v>
      </c>
      <c r="AJ1209" s="100">
        <f t="shared" si="735"/>
        <v>0</v>
      </c>
      <c r="AK1209" s="100">
        <v>0</v>
      </c>
      <c r="AL1209" s="100">
        <v>23990</v>
      </c>
      <c r="AM1209" s="100">
        <v>0</v>
      </c>
      <c r="AN1209" s="100">
        <v>0</v>
      </c>
      <c r="AO1209" s="100">
        <v>0</v>
      </c>
      <c r="AP1209" s="100">
        <f t="shared" si="725"/>
        <v>134960</v>
      </c>
      <c r="AQ1209" s="101">
        <f t="shared" si="726"/>
        <v>2834155</v>
      </c>
      <c r="AR1209" s="101">
        <v>0</v>
      </c>
      <c r="AS1209" s="101">
        <v>0</v>
      </c>
      <c r="AT1209" s="102" t="s">
        <v>33</v>
      </c>
      <c r="AU1209" s="109">
        <v>8</v>
      </c>
      <c r="AV1209" s="100">
        <f>21.47-9.97</f>
        <v>11.499999999999998</v>
      </c>
      <c r="AW1209" s="105">
        <v>0</v>
      </c>
      <c r="AX1209" s="216">
        <f t="shared" si="742"/>
        <v>1.144544997486179</v>
      </c>
      <c r="AY1209" s="217">
        <f t="shared" si="743"/>
        <v>30619</v>
      </c>
      <c r="AZ1209" s="107"/>
      <c r="BA1209" s="94">
        <v>45731.03125</v>
      </c>
      <c r="BB1209" s="94">
        <v>45731.034722222219</v>
      </c>
      <c r="BC1209" s="94">
        <v>45731.034722222219</v>
      </c>
      <c r="BD1209" s="94">
        <v>45731.208333333336</v>
      </c>
      <c r="BE1209" s="95">
        <f t="shared" si="698"/>
        <v>0.17708333333575865</v>
      </c>
      <c r="BF1209" s="95">
        <v>0</v>
      </c>
      <c r="BG1209" s="95">
        <v>7.4999999999999997E-2</v>
      </c>
      <c r="BH1209" s="95">
        <f t="shared" si="744"/>
        <v>3.4722222189884633E-3</v>
      </c>
      <c r="BI1209" s="95">
        <f t="shared" si="744"/>
        <v>0</v>
      </c>
      <c r="BJ1209" s="95">
        <f t="shared" si="744"/>
        <v>0.17361111111677019</v>
      </c>
      <c r="BK1209" s="95">
        <f t="shared" si="745"/>
        <v>0.17361111111677019</v>
      </c>
      <c r="BL1209" s="95">
        <f t="shared" si="746"/>
        <v>9.8611111116770192E-2</v>
      </c>
      <c r="BM1209" s="95" t="str">
        <f t="shared" si="747"/>
        <v>00:00</v>
      </c>
      <c r="BN1209" s="110"/>
    </row>
    <row r="1210" spans="1:66" s="8" customFormat="1" ht="12.75" customHeight="1" x14ac:dyDescent="0.25">
      <c r="A1210" s="150">
        <f>A1209+1</f>
        <v>1113</v>
      </c>
      <c r="B1210" s="150">
        <v>47</v>
      </c>
      <c r="C1210" s="90">
        <v>4</v>
      </c>
      <c r="D1210" s="111" t="s">
        <v>148</v>
      </c>
      <c r="E1210" s="210" t="s">
        <v>1132</v>
      </c>
      <c r="F1210" s="150" t="s">
        <v>16</v>
      </c>
      <c r="G1210" s="150" t="s">
        <v>17</v>
      </c>
      <c r="H1210" s="150" t="s">
        <v>150</v>
      </c>
      <c r="I1210" s="150" t="s">
        <v>1139</v>
      </c>
      <c r="J1210" s="151">
        <v>45730</v>
      </c>
      <c r="K1210" s="135" t="s">
        <v>117</v>
      </c>
      <c r="L1210" s="135">
        <v>461000818</v>
      </c>
      <c r="M1210" s="151">
        <v>45731</v>
      </c>
      <c r="N1210" s="152">
        <v>45731.3125</v>
      </c>
      <c r="O1210" s="152">
        <v>45731.3125</v>
      </c>
      <c r="P1210" s="152">
        <v>45731.322916666664</v>
      </c>
      <c r="Q1210" s="152">
        <v>45731.5</v>
      </c>
      <c r="R1210" s="152" t="s">
        <v>118</v>
      </c>
      <c r="S1210" s="152" t="s">
        <v>118</v>
      </c>
      <c r="T1210" s="152">
        <v>45731.5625</v>
      </c>
      <c r="U1210" s="152">
        <v>45731.701388888891</v>
      </c>
      <c r="V1210" s="219">
        <f t="shared" si="740"/>
        <v>0.1875</v>
      </c>
      <c r="W1210" s="203">
        <v>0.20833333333333334</v>
      </c>
      <c r="X1210" s="219" t="str">
        <f t="shared" si="741"/>
        <v>00:00</v>
      </c>
      <c r="Y1210" s="96">
        <v>0</v>
      </c>
      <c r="Z1210" s="96">
        <v>59</v>
      </c>
      <c r="AA1210" s="96">
        <f t="shared" si="703"/>
        <v>59</v>
      </c>
      <c r="AB1210" s="97">
        <f t="shared" si="713"/>
        <v>0</v>
      </c>
      <c r="AC1210" s="97">
        <f t="shared" si="714"/>
        <v>4113.3100000000004</v>
      </c>
      <c r="AD1210" s="98">
        <v>4113.3100000000004</v>
      </c>
      <c r="AE1210" s="98">
        <v>4116.8999999999996</v>
      </c>
      <c r="AF1210" s="98">
        <v>4135.3999999999996</v>
      </c>
      <c r="AG1210" s="98">
        <f t="shared" si="715"/>
        <v>22.089999999999236</v>
      </c>
      <c r="AH1210" s="99">
        <v>672.5</v>
      </c>
      <c r="AI1210" s="100">
        <f t="shared" si="716"/>
        <v>2781056.4999999995</v>
      </c>
      <c r="AJ1210" s="100">
        <f t="shared" si="735"/>
        <v>0</v>
      </c>
      <c r="AK1210" s="100">
        <v>0</v>
      </c>
      <c r="AL1210" s="100">
        <v>24290</v>
      </c>
      <c r="AM1210" s="100">
        <v>0</v>
      </c>
      <c r="AN1210" s="100">
        <v>0</v>
      </c>
      <c r="AO1210" s="100">
        <v>0</v>
      </c>
      <c r="AP1210" s="100">
        <f t="shared" si="725"/>
        <v>140268</v>
      </c>
      <c r="AQ1210" s="101">
        <f t="shared" si="726"/>
        <v>2945615</v>
      </c>
      <c r="AR1210" s="101">
        <v>0</v>
      </c>
      <c r="AS1210" s="101">
        <v>0</v>
      </c>
      <c r="AT1210" s="102" t="s">
        <v>33</v>
      </c>
      <c r="AU1210" s="109">
        <v>9</v>
      </c>
      <c r="AV1210" s="100">
        <f>21.87-16.37</f>
        <v>5.5</v>
      </c>
      <c r="AW1210" s="105">
        <v>0</v>
      </c>
      <c r="AX1210" s="216">
        <f t="shared" si="742"/>
        <v>0.53416839967111374</v>
      </c>
      <c r="AY1210" s="217">
        <f t="shared" si="743"/>
        <v>14856</v>
      </c>
      <c r="AZ1210" s="107"/>
      <c r="BA1210" s="94">
        <v>45731.3125</v>
      </c>
      <c r="BB1210" s="94">
        <v>45731.322916666664</v>
      </c>
      <c r="BC1210" s="94">
        <v>45731.35</v>
      </c>
      <c r="BD1210" s="94">
        <v>45731.486111111109</v>
      </c>
      <c r="BE1210" s="95">
        <f t="shared" si="698"/>
        <v>0.17361111110949423</v>
      </c>
      <c r="BF1210" s="95">
        <v>0</v>
      </c>
      <c r="BG1210" s="95">
        <v>7.4999999999999997E-2</v>
      </c>
      <c r="BH1210" s="95">
        <f t="shared" si="744"/>
        <v>1.0416666664241347E-2</v>
      </c>
      <c r="BI1210" s="95">
        <f t="shared" si="744"/>
        <v>2.7083333334303461E-2</v>
      </c>
      <c r="BJ1210" s="95">
        <f t="shared" si="744"/>
        <v>0.13611111111094942</v>
      </c>
      <c r="BK1210" s="95">
        <f t="shared" si="745"/>
        <v>0.16319444444525288</v>
      </c>
      <c r="BL1210" s="95">
        <f t="shared" si="746"/>
        <v>8.8194444445252887E-2</v>
      </c>
      <c r="BM1210" s="95" t="str">
        <f t="shared" si="747"/>
        <v>00:00</v>
      </c>
      <c r="BN1210" s="110"/>
    </row>
    <row r="1211" spans="1:66" s="8" customFormat="1" ht="12.75" customHeight="1" x14ac:dyDescent="0.25">
      <c r="A1211" s="150">
        <v>1114</v>
      </c>
      <c r="B1211" s="150">
        <v>48</v>
      </c>
      <c r="C1211" s="90">
        <v>5</v>
      </c>
      <c r="D1211" s="111" t="s">
        <v>148</v>
      </c>
      <c r="E1211" s="210" t="s">
        <v>1132</v>
      </c>
      <c r="F1211" s="150" t="s">
        <v>16</v>
      </c>
      <c r="G1211" s="150" t="s">
        <v>17</v>
      </c>
      <c r="H1211" s="150" t="s">
        <v>150</v>
      </c>
      <c r="I1211" s="150" t="s">
        <v>1140</v>
      </c>
      <c r="J1211" s="151">
        <v>45730</v>
      </c>
      <c r="K1211" s="135" t="s">
        <v>122</v>
      </c>
      <c r="L1211" s="135">
        <v>461000819</v>
      </c>
      <c r="M1211" s="151">
        <v>45731</v>
      </c>
      <c r="N1211" s="152">
        <v>45731.479166666664</v>
      </c>
      <c r="O1211" s="152">
        <v>45731.479166666664</v>
      </c>
      <c r="P1211" s="152">
        <v>45731.489583333336</v>
      </c>
      <c r="Q1211" s="152">
        <v>45731.666666666664</v>
      </c>
      <c r="R1211" s="152" t="s">
        <v>118</v>
      </c>
      <c r="S1211" s="152" t="s">
        <v>118</v>
      </c>
      <c r="T1211" s="152">
        <v>45731.770833333336</v>
      </c>
      <c r="U1211" s="152">
        <v>45731.865972222222</v>
      </c>
      <c r="V1211" s="219">
        <f t="shared" si="740"/>
        <v>0.1875</v>
      </c>
      <c r="W1211" s="203">
        <v>0.20833333333333334</v>
      </c>
      <c r="X1211" s="219" t="str">
        <f t="shared" si="741"/>
        <v>00:00</v>
      </c>
      <c r="Y1211" s="96">
        <v>0</v>
      </c>
      <c r="Z1211" s="96">
        <v>58</v>
      </c>
      <c r="AA1211" s="96">
        <f t="shared" si="703"/>
        <v>58</v>
      </c>
      <c r="AB1211" s="97">
        <f t="shared" si="713"/>
        <v>0</v>
      </c>
      <c r="AC1211" s="97">
        <f t="shared" si="714"/>
        <v>3931.2400000000002</v>
      </c>
      <c r="AD1211" s="98">
        <v>3931.24</v>
      </c>
      <c r="AE1211" s="98">
        <v>4010.7</v>
      </c>
      <c r="AF1211" s="98">
        <v>4011.8</v>
      </c>
      <c r="AG1211" s="98">
        <f t="shared" si="715"/>
        <v>80.5600000000004</v>
      </c>
      <c r="AH1211" s="99">
        <v>672.5</v>
      </c>
      <c r="AI1211" s="100">
        <f t="shared" si="716"/>
        <v>2697935.5</v>
      </c>
      <c r="AJ1211" s="100">
        <f>(0.2*AH1211)*2</f>
        <v>269</v>
      </c>
      <c r="AK1211" s="100">
        <v>0</v>
      </c>
      <c r="AL1211" s="100">
        <v>0</v>
      </c>
      <c r="AM1211" s="100">
        <v>0</v>
      </c>
      <c r="AN1211" s="100">
        <v>0</v>
      </c>
      <c r="AO1211" s="100">
        <v>0</v>
      </c>
      <c r="AP1211" s="100">
        <f t="shared" si="725"/>
        <v>134911</v>
      </c>
      <c r="AQ1211" s="101">
        <f t="shared" si="726"/>
        <v>2833116</v>
      </c>
      <c r="AR1211" s="101">
        <v>0</v>
      </c>
      <c r="AS1211" s="101">
        <v>0</v>
      </c>
      <c r="AT1211" s="102" t="s">
        <v>33</v>
      </c>
      <c r="AU1211" s="109" t="s">
        <v>118</v>
      </c>
      <c r="AV1211" s="100">
        <v>0</v>
      </c>
      <c r="AW1211" s="105">
        <v>0</v>
      </c>
      <c r="AX1211" s="216">
        <f t="shared" si="742"/>
        <v>2.0080761752829255</v>
      </c>
      <c r="AY1211" s="217">
        <f t="shared" si="743"/>
        <v>54177</v>
      </c>
      <c r="AZ1211" s="107"/>
      <c r="BA1211" s="94">
        <v>45731.479166666664</v>
      </c>
      <c r="BB1211" s="94">
        <v>45731.489583333336</v>
      </c>
      <c r="BC1211" s="94">
        <v>45731.5</v>
      </c>
      <c r="BD1211" s="94">
        <v>45731.621527777781</v>
      </c>
      <c r="BE1211" s="95">
        <f t="shared" si="698"/>
        <v>0.14236111111677019</v>
      </c>
      <c r="BF1211" s="95">
        <v>0</v>
      </c>
      <c r="BG1211" s="95">
        <v>1.0416666666666666E-2</v>
      </c>
      <c r="BH1211" s="95">
        <f t="shared" si="744"/>
        <v>1.0416666671517305E-2</v>
      </c>
      <c r="BI1211" s="95">
        <f t="shared" si="744"/>
        <v>1.0416666664241347E-2</v>
      </c>
      <c r="BJ1211" s="95">
        <f t="shared" si="744"/>
        <v>0.12152777778101154</v>
      </c>
      <c r="BK1211" s="95">
        <f t="shared" si="745"/>
        <v>0.13194444444525288</v>
      </c>
      <c r="BL1211" s="95">
        <f t="shared" si="746"/>
        <v>0.12152777777858621</v>
      </c>
      <c r="BM1211" s="95" t="str">
        <f t="shared" si="747"/>
        <v>00:00</v>
      </c>
      <c r="BN1211" s="110"/>
    </row>
    <row r="1212" spans="1:66" s="8" customFormat="1" ht="12.75" customHeight="1" x14ac:dyDescent="0.25">
      <c r="A1212" s="150">
        <v>1115</v>
      </c>
      <c r="B1212" s="150">
        <v>49</v>
      </c>
      <c r="C1212" s="90">
        <v>6</v>
      </c>
      <c r="D1212" s="111" t="s">
        <v>148</v>
      </c>
      <c r="E1212" s="210" t="s">
        <v>1132</v>
      </c>
      <c r="F1212" s="150" t="s">
        <v>16</v>
      </c>
      <c r="G1212" s="150" t="s">
        <v>17</v>
      </c>
      <c r="H1212" s="150" t="s">
        <v>150</v>
      </c>
      <c r="I1212" s="150" t="s">
        <v>1141</v>
      </c>
      <c r="J1212" s="151">
        <v>45730</v>
      </c>
      <c r="K1212" s="135" t="s">
        <v>117</v>
      </c>
      <c r="L1212" s="135">
        <v>461000820</v>
      </c>
      <c r="M1212" s="151">
        <v>45732</v>
      </c>
      <c r="N1212" s="152">
        <v>45731.75</v>
      </c>
      <c r="O1212" s="152">
        <v>45731.75</v>
      </c>
      <c r="P1212" s="152">
        <v>45731.753472222219</v>
      </c>
      <c r="Q1212" s="152">
        <v>45731.916666666664</v>
      </c>
      <c r="R1212" s="152" t="s">
        <v>118</v>
      </c>
      <c r="S1212" s="152" t="s">
        <v>118</v>
      </c>
      <c r="T1212" s="152">
        <v>45731.9375</v>
      </c>
      <c r="U1212" s="152">
        <v>45732.013888888891</v>
      </c>
      <c r="V1212" s="219">
        <f t="shared" si="740"/>
        <v>0.16666666666424135</v>
      </c>
      <c r="W1212" s="203">
        <v>0.20833333333333334</v>
      </c>
      <c r="X1212" s="219" t="str">
        <f t="shared" si="741"/>
        <v>00:00</v>
      </c>
      <c r="Y1212" s="96">
        <v>2</v>
      </c>
      <c r="Z1212" s="96">
        <v>56</v>
      </c>
      <c r="AA1212" s="96">
        <f t="shared" si="703"/>
        <v>58</v>
      </c>
      <c r="AB1212" s="97">
        <f t="shared" si="713"/>
        <v>137.84517241379311</v>
      </c>
      <c r="AC1212" s="97">
        <f t="shared" si="714"/>
        <v>3859.6648275862071</v>
      </c>
      <c r="AD1212" s="98">
        <v>3997.51</v>
      </c>
      <c r="AE1212" s="98">
        <v>4018.6</v>
      </c>
      <c r="AF1212" s="98">
        <v>4029.4</v>
      </c>
      <c r="AG1212" s="98">
        <f t="shared" si="715"/>
        <v>31.889999999999873</v>
      </c>
      <c r="AH1212" s="99">
        <v>672.5</v>
      </c>
      <c r="AI1212" s="100">
        <f t="shared" si="716"/>
        <v>2709771.5</v>
      </c>
      <c r="AJ1212" s="100">
        <f>(0*AH1212)*2</f>
        <v>0</v>
      </c>
      <c r="AK1212" s="100">
        <v>0</v>
      </c>
      <c r="AL1212" s="100">
        <v>24140</v>
      </c>
      <c r="AM1212" s="100">
        <v>0</v>
      </c>
      <c r="AN1212" s="100">
        <v>0</v>
      </c>
      <c r="AO1212" s="100">
        <v>0</v>
      </c>
      <c r="AP1212" s="100">
        <f t="shared" si="725"/>
        <v>136696</v>
      </c>
      <c r="AQ1212" s="101">
        <f t="shared" si="726"/>
        <v>2870608</v>
      </c>
      <c r="AR1212" s="101">
        <v>0</v>
      </c>
      <c r="AS1212" s="101">
        <v>0</v>
      </c>
      <c r="AT1212" s="102" t="s">
        <v>33</v>
      </c>
      <c r="AU1212" s="109">
        <v>4</v>
      </c>
      <c r="AV1212" s="100">
        <f>13.69-9.69</f>
        <v>4</v>
      </c>
      <c r="AW1212" s="105">
        <v>0</v>
      </c>
      <c r="AX1212" s="216">
        <f t="shared" si="742"/>
        <v>0.79143296768749372</v>
      </c>
      <c r="AY1212" s="217">
        <f t="shared" si="743"/>
        <v>21447</v>
      </c>
      <c r="AZ1212" s="107"/>
      <c r="BA1212" s="94">
        <v>45731.75</v>
      </c>
      <c r="BB1212" s="94">
        <v>45731.753472222219</v>
      </c>
      <c r="BC1212" s="94">
        <v>45731.753472222219</v>
      </c>
      <c r="BD1212" s="94">
        <v>45731.861111111109</v>
      </c>
      <c r="BE1212" s="95">
        <f t="shared" si="698"/>
        <v>0.11111111110949423</v>
      </c>
      <c r="BF1212" s="95">
        <v>0</v>
      </c>
      <c r="BG1212" s="95">
        <v>2.7777777777777779E-3</v>
      </c>
      <c r="BH1212" s="95">
        <f t="shared" si="744"/>
        <v>3.4722222189884633E-3</v>
      </c>
      <c r="BI1212" s="95">
        <f t="shared" si="744"/>
        <v>0</v>
      </c>
      <c r="BJ1212" s="95">
        <f t="shared" si="744"/>
        <v>0.10763888889050577</v>
      </c>
      <c r="BK1212" s="95">
        <f t="shared" si="745"/>
        <v>0.10763888889050577</v>
      </c>
      <c r="BL1212" s="95">
        <f t="shared" si="746"/>
        <v>0.10486111111272799</v>
      </c>
      <c r="BM1212" s="95" t="str">
        <f t="shared" si="747"/>
        <v>00:00</v>
      </c>
      <c r="BN1212" s="110"/>
    </row>
    <row r="1213" spans="1:66" s="8" customFormat="1" ht="12.75" customHeight="1" x14ac:dyDescent="0.25">
      <c r="A1213" s="150">
        <v>1116</v>
      </c>
      <c r="B1213" s="150">
        <v>50</v>
      </c>
      <c r="C1213" s="90">
        <v>8</v>
      </c>
      <c r="D1213" s="111" t="s">
        <v>113</v>
      </c>
      <c r="E1213" s="210" t="s">
        <v>1111</v>
      </c>
      <c r="F1213" s="150" t="s">
        <v>41</v>
      </c>
      <c r="G1213" s="150" t="s">
        <v>12</v>
      </c>
      <c r="H1213" s="150" t="s">
        <v>115</v>
      </c>
      <c r="I1213" s="150" t="s">
        <v>1142</v>
      </c>
      <c r="J1213" s="151">
        <v>45731</v>
      </c>
      <c r="K1213" s="135" t="s">
        <v>117</v>
      </c>
      <c r="L1213" s="135">
        <v>282001146</v>
      </c>
      <c r="M1213" s="151">
        <v>45732</v>
      </c>
      <c r="N1213" s="152">
        <v>45732.145833333336</v>
      </c>
      <c r="O1213" s="152">
        <v>45732.145833333336</v>
      </c>
      <c r="P1213" s="152">
        <v>45732.15625</v>
      </c>
      <c r="Q1213" s="152">
        <v>45732.354166666664</v>
      </c>
      <c r="R1213" s="152" t="s">
        <v>118</v>
      </c>
      <c r="S1213" s="152" t="s">
        <v>118</v>
      </c>
      <c r="T1213" s="152">
        <v>45732.395833333336</v>
      </c>
      <c r="U1213" s="152">
        <v>45732.5</v>
      </c>
      <c r="V1213" s="219">
        <f t="shared" si="740"/>
        <v>0.20833333332848269</v>
      </c>
      <c r="W1213" s="203">
        <v>0.20833333333333334</v>
      </c>
      <c r="X1213" s="219" t="str">
        <f t="shared" si="741"/>
        <v>00:00</v>
      </c>
      <c r="Y1213" s="96">
        <v>0</v>
      </c>
      <c r="Z1213" s="96">
        <v>58</v>
      </c>
      <c r="AA1213" s="96">
        <f t="shared" si="703"/>
        <v>58</v>
      </c>
      <c r="AB1213" s="97">
        <f t="shared" si="713"/>
        <v>0</v>
      </c>
      <c r="AC1213" s="97">
        <f t="shared" si="714"/>
        <v>3982.48</v>
      </c>
      <c r="AD1213" s="98">
        <v>3982.48</v>
      </c>
      <c r="AE1213" s="98">
        <v>4029.6</v>
      </c>
      <c r="AF1213" s="98">
        <v>4045.6</v>
      </c>
      <c r="AG1213" s="98">
        <f t="shared" si="715"/>
        <v>63.119999999999891</v>
      </c>
      <c r="AH1213" s="99">
        <v>1586.7</v>
      </c>
      <c r="AI1213" s="100">
        <f t="shared" si="716"/>
        <v>6419153.5200000005</v>
      </c>
      <c r="AJ1213" s="100">
        <f>(0*AH1213)*2</f>
        <v>0</v>
      </c>
      <c r="AK1213" s="100">
        <v>0</v>
      </c>
      <c r="AL1213" s="100">
        <v>24140</v>
      </c>
      <c r="AM1213" s="100">
        <v>0</v>
      </c>
      <c r="AN1213" s="100">
        <v>0</v>
      </c>
      <c r="AO1213" s="100">
        <f>IFERROR(AF1213*20+(((AJ1213/AH1213)/2)*20),0)</f>
        <v>80912</v>
      </c>
      <c r="AP1213" s="100">
        <f t="shared" si="725"/>
        <v>326211</v>
      </c>
      <c r="AQ1213" s="101">
        <f t="shared" si="726"/>
        <v>6850417</v>
      </c>
      <c r="AR1213" s="101">
        <v>0</v>
      </c>
      <c r="AS1213" s="101">
        <v>0</v>
      </c>
      <c r="AT1213" s="102" t="s">
        <v>33</v>
      </c>
      <c r="AU1213" s="109">
        <v>8</v>
      </c>
      <c r="AV1213" s="100">
        <f>20.27-13.77</f>
        <v>6.5</v>
      </c>
      <c r="AW1213" s="105">
        <v>0</v>
      </c>
      <c r="AX1213" s="216">
        <f t="shared" si="742"/>
        <v>1.5602135653549509</v>
      </c>
      <c r="AY1213" s="217">
        <f t="shared" si="743"/>
        <v>100153</v>
      </c>
      <c r="AZ1213" s="107"/>
      <c r="BA1213" s="94">
        <v>45732.145833333336</v>
      </c>
      <c r="BB1213" s="94">
        <v>45732.15625</v>
      </c>
      <c r="BC1213" s="94">
        <v>45732.163194444445</v>
      </c>
      <c r="BD1213" s="94">
        <v>45732.388888888891</v>
      </c>
      <c r="BE1213" s="95">
        <f t="shared" si="698"/>
        <v>0.24305555555474712</v>
      </c>
      <c r="BF1213" s="95">
        <v>0</v>
      </c>
      <c r="BG1213" s="95">
        <v>0.05</v>
      </c>
      <c r="BH1213" s="95">
        <f t="shared" si="744"/>
        <v>1.0416666664241347E-2</v>
      </c>
      <c r="BI1213" s="95">
        <f t="shared" si="744"/>
        <v>6.9444444452528842E-3</v>
      </c>
      <c r="BJ1213" s="95">
        <f t="shared" si="744"/>
        <v>0.22569444444525288</v>
      </c>
      <c r="BK1213" s="95">
        <f t="shared" si="745"/>
        <v>0.23263888889050577</v>
      </c>
      <c r="BL1213" s="95">
        <f t="shared" si="746"/>
        <v>0.18263888889050578</v>
      </c>
      <c r="BM1213" s="95">
        <f t="shared" si="747"/>
        <v>3.4722222221413773E-2</v>
      </c>
      <c r="BN1213" s="110"/>
    </row>
    <row r="1214" spans="1:66" s="8" customFormat="1" ht="12.75" customHeight="1" x14ac:dyDescent="0.25">
      <c r="A1214" s="150">
        <v>1117</v>
      </c>
      <c r="B1214" s="150">
        <v>51</v>
      </c>
      <c r="C1214" s="90">
        <v>7</v>
      </c>
      <c r="D1214" s="111" t="s">
        <v>148</v>
      </c>
      <c r="E1214" s="210" t="s">
        <v>1132</v>
      </c>
      <c r="F1214" s="150" t="s">
        <v>16</v>
      </c>
      <c r="G1214" s="150" t="s">
        <v>17</v>
      </c>
      <c r="H1214" s="150" t="s">
        <v>150</v>
      </c>
      <c r="I1214" s="150" t="s">
        <v>1143</v>
      </c>
      <c r="J1214" s="151">
        <v>45730</v>
      </c>
      <c r="K1214" s="135" t="s">
        <v>122</v>
      </c>
      <c r="L1214" s="135">
        <v>461000821</v>
      </c>
      <c r="M1214" s="151">
        <v>45732</v>
      </c>
      <c r="N1214" s="152">
        <v>45732.416666666664</v>
      </c>
      <c r="O1214" s="152">
        <v>45732.416666666664</v>
      </c>
      <c r="P1214" s="152">
        <v>45732.4375</v>
      </c>
      <c r="Q1214" s="152">
        <v>45732.59375</v>
      </c>
      <c r="R1214" s="152" t="s">
        <v>118</v>
      </c>
      <c r="S1214" s="152" t="s">
        <v>118</v>
      </c>
      <c r="T1214" s="152">
        <v>45732.625</v>
      </c>
      <c r="U1214" s="152">
        <v>45732.711111111108</v>
      </c>
      <c r="V1214" s="219">
        <f t="shared" si="740"/>
        <v>0.17708333333575865</v>
      </c>
      <c r="W1214" s="203">
        <v>0.20833333333333334</v>
      </c>
      <c r="X1214" s="219" t="str">
        <f t="shared" si="741"/>
        <v>00:00</v>
      </c>
      <c r="Y1214" s="96">
        <v>0</v>
      </c>
      <c r="Z1214" s="96">
        <v>58</v>
      </c>
      <c r="AA1214" s="96">
        <f t="shared" si="703"/>
        <v>58</v>
      </c>
      <c r="AB1214" s="97">
        <f t="shared" si="713"/>
        <v>0</v>
      </c>
      <c r="AC1214" s="97">
        <f t="shared" si="714"/>
        <v>3962.52</v>
      </c>
      <c r="AD1214" s="98">
        <v>3962.52</v>
      </c>
      <c r="AE1214" s="98">
        <v>4023.8</v>
      </c>
      <c r="AF1214" s="98">
        <v>4026.8</v>
      </c>
      <c r="AG1214" s="98">
        <f t="shared" si="715"/>
        <v>64.2800000000002</v>
      </c>
      <c r="AH1214" s="99">
        <v>672.5</v>
      </c>
      <c r="AI1214" s="100">
        <f t="shared" si="716"/>
        <v>2708023</v>
      </c>
      <c r="AJ1214" s="100">
        <f>(0.6*AH1214)*2</f>
        <v>807</v>
      </c>
      <c r="AK1214" s="100">
        <v>0</v>
      </c>
      <c r="AL1214" s="100">
        <v>0</v>
      </c>
      <c r="AM1214" s="100">
        <v>0</v>
      </c>
      <c r="AN1214" s="100">
        <v>0</v>
      </c>
      <c r="AO1214" s="100">
        <v>0</v>
      </c>
      <c r="AP1214" s="100">
        <f t="shared" si="725"/>
        <v>135442</v>
      </c>
      <c r="AQ1214" s="101">
        <f t="shared" si="726"/>
        <v>2844272</v>
      </c>
      <c r="AR1214" s="101">
        <v>0</v>
      </c>
      <c r="AS1214" s="101">
        <v>0</v>
      </c>
      <c r="AT1214" s="102" t="s">
        <v>33</v>
      </c>
      <c r="AU1214" s="109" t="s">
        <v>118</v>
      </c>
      <c r="AV1214" s="100">
        <v>0</v>
      </c>
      <c r="AW1214" s="105">
        <v>0</v>
      </c>
      <c r="AX1214" s="216">
        <f t="shared" si="742"/>
        <v>1.5963047581205969</v>
      </c>
      <c r="AY1214" s="217">
        <f t="shared" si="743"/>
        <v>43229</v>
      </c>
      <c r="AZ1214" s="107"/>
      <c r="BA1214" s="94">
        <v>45732.416666666664</v>
      </c>
      <c r="BB1214" s="94">
        <v>45732.4375</v>
      </c>
      <c r="BC1214" s="94">
        <v>45732.4375</v>
      </c>
      <c r="BD1214" s="94">
        <v>45732.5625</v>
      </c>
      <c r="BE1214" s="95">
        <f t="shared" si="698"/>
        <v>0.14583333333575865</v>
      </c>
      <c r="BF1214" s="95">
        <v>0</v>
      </c>
      <c r="BG1214" s="95">
        <v>0</v>
      </c>
      <c r="BH1214" s="95">
        <f t="shared" si="744"/>
        <v>2.0833333335758653E-2</v>
      </c>
      <c r="BI1214" s="95">
        <f t="shared" si="744"/>
        <v>0</v>
      </c>
      <c r="BJ1214" s="95">
        <f t="shared" si="744"/>
        <v>0.125</v>
      </c>
      <c r="BK1214" s="95">
        <f t="shared" si="745"/>
        <v>0.125</v>
      </c>
      <c r="BL1214" s="95">
        <f t="shared" si="746"/>
        <v>0.125</v>
      </c>
      <c r="BM1214" s="95" t="str">
        <f t="shared" si="747"/>
        <v>00:00</v>
      </c>
      <c r="BN1214" s="110"/>
    </row>
    <row r="1215" spans="1:66" s="8" customFormat="1" ht="12.75" customHeight="1" x14ac:dyDescent="0.25">
      <c r="A1215" s="150">
        <v>1118</v>
      </c>
      <c r="B1215" s="150">
        <v>52</v>
      </c>
      <c r="C1215" s="90">
        <v>8</v>
      </c>
      <c r="D1215" s="111" t="s">
        <v>148</v>
      </c>
      <c r="E1215" s="210" t="s">
        <v>1132</v>
      </c>
      <c r="F1215" s="150" t="s">
        <v>16</v>
      </c>
      <c r="G1215" s="150" t="s">
        <v>17</v>
      </c>
      <c r="H1215" s="150" t="s">
        <v>150</v>
      </c>
      <c r="I1215" s="150" t="s">
        <v>1144</v>
      </c>
      <c r="J1215" s="151">
        <v>45731</v>
      </c>
      <c r="K1215" s="135" t="s">
        <v>117</v>
      </c>
      <c r="L1215" s="135">
        <v>461000822</v>
      </c>
      <c r="M1215" s="151">
        <v>45732</v>
      </c>
      <c r="N1215" s="152">
        <v>45732.572916666664</v>
      </c>
      <c r="O1215" s="152">
        <v>45732.572916666664</v>
      </c>
      <c r="P1215" s="152">
        <v>45732.576388888891</v>
      </c>
      <c r="Q1215" s="152">
        <v>45732.78125</v>
      </c>
      <c r="R1215" s="152" t="s">
        <v>118</v>
      </c>
      <c r="S1215" s="152" t="s">
        <v>118</v>
      </c>
      <c r="T1215" s="152">
        <v>45732.8125</v>
      </c>
      <c r="U1215" s="152">
        <v>45732.989583333336</v>
      </c>
      <c r="V1215" s="219">
        <f t="shared" si="740"/>
        <v>0.20833333333575865</v>
      </c>
      <c r="W1215" s="203">
        <v>0.20833333333333334</v>
      </c>
      <c r="X1215" s="219">
        <f t="shared" si="741"/>
        <v>2.4253099528692701E-12</v>
      </c>
      <c r="Y1215" s="96">
        <v>0</v>
      </c>
      <c r="Z1215" s="96">
        <v>59</v>
      </c>
      <c r="AA1215" s="96">
        <f t="shared" si="703"/>
        <v>59</v>
      </c>
      <c r="AB1215" s="97">
        <f t="shared" si="713"/>
        <v>0</v>
      </c>
      <c r="AC1215" s="97">
        <f t="shared" si="714"/>
        <v>4089.72</v>
      </c>
      <c r="AD1215" s="98">
        <v>4089.72</v>
      </c>
      <c r="AE1215" s="98">
        <v>4100.2</v>
      </c>
      <c r="AF1215" s="98">
        <v>4123.3999999999996</v>
      </c>
      <c r="AG1215" s="98">
        <f t="shared" si="715"/>
        <v>33.679999999999836</v>
      </c>
      <c r="AH1215" s="99">
        <v>672.5</v>
      </c>
      <c r="AI1215" s="100">
        <f t="shared" si="716"/>
        <v>2772986.4999999995</v>
      </c>
      <c r="AJ1215" s="100">
        <f>(0*AH1215)*2</f>
        <v>0</v>
      </c>
      <c r="AK1215" s="100">
        <v>0</v>
      </c>
      <c r="AL1215" s="100">
        <v>24290</v>
      </c>
      <c r="AM1215" s="100">
        <v>0</v>
      </c>
      <c r="AN1215" s="100">
        <v>0</v>
      </c>
      <c r="AO1215" s="100">
        <v>0</v>
      </c>
      <c r="AP1215" s="100">
        <f t="shared" si="725"/>
        <v>139864</v>
      </c>
      <c r="AQ1215" s="101">
        <f t="shared" si="726"/>
        <v>2937141</v>
      </c>
      <c r="AR1215" s="101">
        <v>0</v>
      </c>
      <c r="AS1215" s="101">
        <v>0</v>
      </c>
      <c r="AT1215" s="102" t="s">
        <v>33</v>
      </c>
      <c r="AU1215" s="109">
        <v>11</v>
      </c>
      <c r="AV1215" s="100">
        <f>29.89-20.39</f>
        <v>9.5</v>
      </c>
      <c r="AW1215" s="105">
        <v>0</v>
      </c>
      <c r="AX1215" s="216">
        <f t="shared" si="742"/>
        <v>0.8168016685259698</v>
      </c>
      <c r="AY1215" s="217">
        <f t="shared" si="743"/>
        <v>22650</v>
      </c>
      <c r="AZ1215" s="107"/>
      <c r="BA1215" s="94">
        <v>45732.572916666664</v>
      </c>
      <c r="BB1215" s="94">
        <v>45732.576388888891</v>
      </c>
      <c r="BC1215" s="94">
        <v>45732.576388888891</v>
      </c>
      <c r="BD1215" s="94">
        <v>45732.741666666669</v>
      </c>
      <c r="BE1215" s="95">
        <f t="shared" si="698"/>
        <v>0.16875000000436557</v>
      </c>
      <c r="BF1215" s="95">
        <v>2.7777777777777779E-3</v>
      </c>
      <c r="BG1215" s="95">
        <v>1.2500000000000001E-2</v>
      </c>
      <c r="BH1215" s="95">
        <f t="shared" si="744"/>
        <v>3.4722222262644209E-3</v>
      </c>
      <c r="BI1215" s="95">
        <f t="shared" si="744"/>
        <v>0</v>
      </c>
      <c r="BJ1215" s="95">
        <f t="shared" si="744"/>
        <v>0.16527777777810115</v>
      </c>
      <c r="BK1215" s="95">
        <f t="shared" si="745"/>
        <v>0.16527777777810115</v>
      </c>
      <c r="BL1215" s="95">
        <f t="shared" si="746"/>
        <v>0.15000000000032337</v>
      </c>
      <c r="BM1215" s="95" t="str">
        <f t="shared" si="747"/>
        <v>00:00</v>
      </c>
      <c r="BN1215" s="110"/>
    </row>
    <row r="1216" spans="1:66" s="8" customFormat="1" ht="12.75" customHeight="1" x14ac:dyDescent="0.25">
      <c r="A1216" s="150">
        <v>1119</v>
      </c>
      <c r="B1216" s="150">
        <v>53</v>
      </c>
      <c r="C1216" s="90">
        <v>9</v>
      </c>
      <c r="D1216" s="111" t="s">
        <v>148</v>
      </c>
      <c r="E1216" s="210" t="s">
        <v>1132</v>
      </c>
      <c r="F1216" s="150" t="s">
        <v>16</v>
      </c>
      <c r="G1216" s="150" t="s">
        <v>17</v>
      </c>
      <c r="H1216" s="150" t="s">
        <v>150</v>
      </c>
      <c r="I1216" s="150" t="s">
        <v>1145</v>
      </c>
      <c r="J1216" s="151">
        <v>45731</v>
      </c>
      <c r="K1216" s="135" t="s">
        <v>122</v>
      </c>
      <c r="L1216" s="135">
        <v>461000823</v>
      </c>
      <c r="M1216" s="151">
        <v>45733</v>
      </c>
      <c r="N1216" s="152">
        <v>45732.75</v>
      </c>
      <c r="O1216" s="152">
        <v>45732.75</v>
      </c>
      <c r="P1216" s="152">
        <v>45732.760416666664</v>
      </c>
      <c r="Q1216" s="152">
        <v>45732.916666666664</v>
      </c>
      <c r="R1216" s="152" t="s">
        <v>118</v>
      </c>
      <c r="S1216" s="152" t="s">
        <v>118</v>
      </c>
      <c r="T1216" s="152">
        <v>45732.9375</v>
      </c>
      <c r="U1216" s="152">
        <v>45733.082638888889</v>
      </c>
      <c r="V1216" s="219">
        <f t="shared" si="740"/>
        <v>0.16666666666424135</v>
      </c>
      <c r="W1216" s="203">
        <v>0.20833333333333334</v>
      </c>
      <c r="X1216" s="219" t="str">
        <f t="shared" si="741"/>
        <v>00:00</v>
      </c>
      <c r="Y1216" s="96">
        <v>0</v>
      </c>
      <c r="Z1216" s="96">
        <v>58</v>
      </c>
      <c r="AA1216" s="96">
        <f t="shared" si="703"/>
        <v>58</v>
      </c>
      <c r="AB1216" s="97">
        <f t="shared" si="713"/>
        <v>0</v>
      </c>
      <c r="AC1216" s="97">
        <f t="shared" si="714"/>
        <v>3993.2199999999993</v>
      </c>
      <c r="AD1216" s="98">
        <v>3993.22</v>
      </c>
      <c r="AE1216" s="98">
        <v>4043.8</v>
      </c>
      <c r="AF1216" s="98">
        <v>4048.2</v>
      </c>
      <c r="AG1216" s="98">
        <f t="shared" si="715"/>
        <v>54.980000000000018</v>
      </c>
      <c r="AH1216" s="99">
        <v>672.5</v>
      </c>
      <c r="AI1216" s="100">
        <f t="shared" si="716"/>
        <v>2722414.5</v>
      </c>
      <c r="AJ1216" s="100">
        <f>(0.8*AH1216)*2</f>
        <v>1076</v>
      </c>
      <c r="AK1216" s="100">
        <v>0</v>
      </c>
      <c r="AL1216" s="100">
        <v>0</v>
      </c>
      <c r="AM1216" s="100">
        <v>0</v>
      </c>
      <c r="AN1216" s="100">
        <v>0</v>
      </c>
      <c r="AO1216" s="100">
        <v>0</v>
      </c>
      <c r="AP1216" s="100">
        <f t="shared" si="725"/>
        <v>136175</v>
      </c>
      <c r="AQ1216" s="101">
        <f t="shared" si="726"/>
        <v>2859666</v>
      </c>
      <c r="AR1216" s="101">
        <v>0</v>
      </c>
      <c r="AS1216" s="101">
        <v>0</v>
      </c>
      <c r="AT1216" s="102" t="s">
        <v>33</v>
      </c>
      <c r="AU1216" s="109" t="s">
        <v>118</v>
      </c>
      <c r="AV1216" s="100">
        <v>0</v>
      </c>
      <c r="AW1216" s="105">
        <v>0</v>
      </c>
      <c r="AX1216" s="216">
        <f t="shared" si="742"/>
        <v>1.3581344795217634</v>
      </c>
      <c r="AY1216" s="217">
        <f t="shared" si="743"/>
        <v>36975</v>
      </c>
      <c r="AZ1216" s="107"/>
      <c r="BA1216" s="94">
        <v>45732.75</v>
      </c>
      <c r="BB1216" s="94">
        <v>45732.760416666664</v>
      </c>
      <c r="BC1216" s="94">
        <v>45732.78125</v>
      </c>
      <c r="BD1216" s="94">
        <v>45732.893055555556</v>
      </c>
      <c r="BE1216" s="95">
        <f t="shared" si="698"/>
        <v>0.14305555555620231</v>
      </c>
      <c r="BF1216" s="95">
        <v>2.0833333333333332E-2</v>
      </c>
      <c r="BG1216" s="95">
        <v>0</v>
      </c>
      <c r="BH1216" s="95">
        <f t="shared" si="744"/>
        <v>1.0416666664241347E-2</v>
      </c>
      <c r="BI1216" s="95">
        <f t="shared" si="744"/>
        <v>2.0833333335758653E-2</v>
      </c>
      <c r="BJ1216" s="95">
        <f t="shared" si="744"/>
        <v>0.11180555555620231</v>
      </c>
      <c r="BK1216" s="95">
        <f t="shared" si="745"/>
        <v>0.13263888889196096</v>
      </c>
      <c r="BL1216" s="95">
        <f t="shared" si="746"/>
        <v>0.11180555555862763</v>
      </c>
      <c r="BM1216" s="95" t="str">
        <f t="shared" si="747"/>
        <v>00:00</v>
      </c>
      <c r="BN1216" s="110"/>
    </row>
    <row r="1217" spans="1:66" s="8" customFormat="1" ht="12.75" customHeight="1" x14ac:dyDescent="0.25">
      <c r="A1217" s="150">
        <v>1120</v>
      </c>
      <c r="B1217" s="150">
        <v>54</v>
      </c>
      <c r="C1217" s="90">
        <v>10</v>
      </c>
      <c r="D1217" s="111" t="s">
        <v>148</v>
      </c>
      <c r="E1217" s="210" t="s">
        <v>1132</v>
      </c>
      <c r="F1217" s="150" t="s">
        <v>16</v>
      </c>
      <c r="G1217" s="150" t="s">
        <v>17</v>
      </c>
      <c r="H1217" s="150" t="s">
        <v>150</v>
      </c>
      <c r="I1217" s="150" t="s">
        <v>1146</v>
      </c>
      <c r="J1217" s="151">
        <v>45731</v>
      </c>
      <c r="K1217" s="135" t="s">
        <v>117</v>
      </c>
      <c r="L1217" s="135">
        <v>461000824</v>
      </c>
      <c r="M1217" s="151">
        <v>45733</v>
      </c>
      <c r="N1217" s="152">
        <v>45733.03125</v>
      </c>
      <c r="O1217" s="152">
        <v>45733.03125</v>
      </c>
      <c r="P1217" s="152">
        <v>45733.045138888891</v>
      </c>
      <c r="Q1217" s="152">
        <v>45733.239583333336</v>
      </c>
      <c r="R1217" s="152" t="s">
        <v>118</v>
      </c>
      <c r="S1217" s="152" t="s">
        <v>118</v>
      </c>
      <c r="T1217" s="152">
        <v>45733.270833333336</v>
      </c>
      <c r="U1217" s="152">
        <v>45733.368750000001</v>
      </c>
      <c r="V1217" s="219">
        <f t="shared" si="740"/>
        <v>0.20833333333575865</v>
      </c>
      <c r="W1217" s="203">
        <v>0.20833333333333334</v>
      </c>
      <c r="X1217" s="219">
        <f t="shared" si="741"/>
        <v>2.4253099528692701E-12</v>
      </c>
      <c r="Y1217" s="96">
        <v>0</v>
      </c>
      <c r="Z1217" s="96">
        <v>59</v>
      </c>
      <c r="AA1217" s="96">
        <f t="shared" si="703"/>
        <v>59</v>
      </c>
      <c r="AB1217" s="97">
        <f t="shared" si="713"/>
        <v>0</v>
      </c>
      <c r="AC1217" s="97">
        <f t="shared" si="714"/>
        <v>4077.73</v>
      </c>
      <c r="AD1217" s="98">
        <v>4077.73</v>
      </c>
      <c r="AE1217" s="98">
        <v>4089.2</v>
      </c>
      <c r="AF1217" s="98">
        <v>4102.2</v>
      </c>
      <c r="AG1217" s="98">
        <f t="shared" si="715"/>
        <v>24.4699999999998</v>
      </c>
      <c r="AH1217" s="99">
        <v>672.5</v>
      </c>
      <c r="AI1217" s="100">
        <f t="shared" si="716"/>
        <v>2758729.5</v>
      </c>
      <c r="AJ1217" s="100">
        <f>(1.4*AH1217)*2</f>
        <v>1882.9999999999998</v>
      </c>
      <c r="AK1217" s="100">
        <v>0</v>
      </c>
      <c r="AL1217" s="100">
        <v>0</v>
      </c>
      <c r="AM1217" s="100">
        <v>0</v>
      </c>
      <c r="AN1217" s="100">
        <v>0</v>
      </c>
      <c r="AO1217" s="100">
        <v>0</v>
      </c>
      <c r="AP1217" s="100">
        <f t="shared" si="725"/>
        <v>138031</v>
      </c>
      <c r="AQ1217" s="101">
        <f t="shared" si="726"/>
        <v>2898644</v>
      </c>
      <c r="AR1217" s="101">
        <v>0</v>
      </c>
      <c r="AS1217" s="101">
        <v>0</v>
      </c>
      <c r="AT1217" s="102" t="s">
        <v>33</v>
      </c>
      <c r="AU1217" s="109" t="s">
        <v>118</v>
      </c>
      <c r="AV1217" s="100">
        <v>0</v>
      </c>
      <c r="AW1217" s="105">
        <v>0</v>
      </c>
      <c r="AX1217" s="216">
        <f t="shared" si="742"/>
        <v>0.59650919019062454</v>
      </c>
      <c r="AY1217" s="217">
        <f t="shared" si="743"/>
        <v>16457</v>
      </c>
      <c r="AZ1217" s="107"/>
      <c r="BA1217" s="94">
        <v>45733.03125</v>
      </c>
      <c r="BB1217" s="94">
        <v>45733.045138888891</v>
      </c>
      <c r="BC1217" s="94">
        <v>45733.045138888891</v>
      </c>
      <c r="BD1217" s="94">
        <v>45733.170138888891</v>
      </c>
      <c r="BE1217" s="95">
        <f t="shared" si="698"/>
        <v>0.13888888889050577</v>
      </c>
      <c r="BF1217" s="95">
        <v>0</v>
      </c>
      <c r="BG1217" s="95">
        <v>0</v>
      </c>
      <c r="BH1217" s="95">
        <f t="shared" si="744"/>
        <v>1.3888888890505768E-2</v>
      </c>
      <c r="BI1217" s="95">
        <f t="shared" si="744"/>
        <v>0</v>
      </c>
      <c r="BJ1217" s="95">
        <f t="shared" si="744"/>
        <v>0.125</v>
      </c>
      <c r="BK1217" s="95">
        <f t="shared" si="745"/>
        <v>0.125</v>
      </c>
      <c r="BL1217" s="95">
        <f t="shared" si="746"/>
        <v>0.125</v>
      </c>
      <c r="BM1217" s="95" t="str">
        <f t="shared" si="747"/>
        <v>00:00</v>
      </c>
      <c r="BN1217" s="110"/>
    </row>
    <row r="1218" spans="1:66" s="8" customFormat="1" ht="12.75" customHeight="1" x14ac:dyDescent="0.25">
      <c r="A1218" s="150">
        <v>1121</v>
      </c>
      <c r="B1218" s="150">
        <v>55</v>
      </c>
      <c r="C1218" s="90">
        <v>11</v>
      </c>
      <c r="D1218" s="111" t="s">
        <v>148</v>
      </c>
      <c r="E1218" s="210" t="s">
        <v>1132</v>
      </c>
      <c r="F1218" s="150" t="s">
        <v>16</v>
      </c>
      <c r="G1218" s="150" t="s">
        <v>17</v>
      </c>
      <c r="H1218" s="150" t="s">
        <v>150</v>
      </c>
      <c r="I1218" s="150" t="s">
        <v>1147</v>
      </c>
      <c r="J1218" s="151">
        <v>45731</v>
      </c>
      <c r="K1218" s="135" t="s">
        <v>122</v>
      </c>
      <c r="L1218" s="135">
        <v>461000825</v>
      </c>
      <c r="M1218" s="151">
        <v>45733</v>
      </c>
      <c r="N1218" s="152">
        <v>45733.166666666664</v>
      </c>
      <c r="O1218" s="152">
        <v>45733.166666666664</v>
      </c>
      <c r="P1218" s="152">
        <v>45733.177083333336</v>
      </c>
      <c r="Q1218" s="152">
        <v>45733.354166666664</v>
      </c>
      <c r="R1218" s="152" t="s">
        <v>118</v>
      </c>
      <c r="S1218" s="152" t="s">
        <v>118</v>
      </c>
      <c r="T1218" s="152">
        <v>45733.385416666664</v>
      </c>
      <c r="U1218" s="152">
        <v>45733.482638888891</v>
      </c>
      <c r="V1218" s="219">
        <f t="shared" si="740"/>
        <v>0.1875</v>
      </c>
      <c r="W1218" s="203">
        <v>0.20833333333333334</v>
      </c>
      <c r="X1218" s="219" t="str">
        <f t="shared" si="741"/>
        <v>00:00</v>
      </c>
      <c r="Y1218" s="96">
        <v>0</v>
      </c>
      <c r="Z1218" s="96">
        <v>58</v>
      </c>
      <c r="AA1218" s="96">
        <f t="shared" si="703"/>
        <v>58</v>
      </c>
      <c r="AB1218" s="97">
        <f t="shared" si="713"/>
        <v>0</v>
      </c>
      <c r="AC1218" s="97">
        <f t="shared" si="714"/>
        <v>3960.36</v>
      </c>
      <c r="AD1218" s="98">
        <v>3960.36</v>
      </c>
      <c r="AE1218" s="98">
        <v>4042.8</v>
      </c>
      <c r="AF1218" s="98">
        <v>4044</v>
      </c>
      <c r="AG1218" s="98">
        <f t="shared" si="715"/>
        <v>83.639999999999873</v>
      </c>
      <c r="AH1218" s="99">
        <v>672.5</v>
      </c>
      <c r="AI1218" s="100">
        <f t="shared" si="716"/>
        <v>2719590</v>
      </c>
      <c r="AJ1218" s="100">
        <f>(0.4*AH1218)*2</f>
        <v>538</v>
      </c>
      <c r="AK1218" s="100">
        <v>0</v>
      </c>
      <c r="AL1218" s="100">
        <v>0</v>
      </c>
      <c r="AM1218" s="100">
        <v>0</v>
      </c>
      <c r="AN1218" s="100">
        <v>0</v>
      </c>
      <c r="AO1218" s="100">
        <v>0</v>
      </c>
      <c r="AP1218" s="100">
        <f t="shared" si="725"/>
        <v>136007</v>
      </c>
      <c r="AQ1218" s="101">
        <f t="shared" si="726"/>
        <v>2856135</v>
      </c>
      <c r="AR1218" s="101">
        <v>0</v>
      </c>
      <c r="AS1218" s="101">
        <v>0</v>
      </c>
      <c r="AT1218" s="102" t="s">
        <v>33</v>
      </c>
      <c r="AU1218" s="109" t="s">
        <v>118</v>
      </c>
      <c r="AV1218" s="100">
        <v>0</v>
      </c>
      <c r="AW1218" s="105">
        <v>0</v>
      </c>
      <c r="AX1218" s="216">
        <f t="shared" si="742"/>
        <v>2.0682492581602343</v>
      </c>
      <c r="AY1218" s="217">
        <f t="shared" si="743"/>
        <v>56248</v>
      </c>
      <c r="AZ1218" s="107"/>
      <c r="BA1218" s="94">
        <v>45733.166666666664</v>
      </c>
      <c r="BB1218" s="94">
        <v>45733.177083333336</v>
      </c>
      <c r="BC1218" s="94">
        <v>45733.177083333336</v>
      </c>
      <c r="BD1218" s="94">
        <v>45733.3</v>
      </c>
      <c r="BE1218" s="95">
        <f t="shared" si="698"/>
        <v>0.13333333333866904</v>
      </c>
      <c r="BF1218" s="95">
        <v>0</v>
      </c>
      <c r="BG1218" s="95">
        <v>0</v>
      </c>
      <c r="BH1218" s="95">
        <f t="shared" si="744"/>
        <v>1.0416666671517305E-2</v>
      </c>
      <c r="BI1218" s="95">
        <f t="shared" si="744"/>
        <v>0</v>
      </c>
      <c r="BJ1218" s="95">
        <f t="shared" si="744"/>
        <v>0.12291666666715173</v>
      </c>
      <c r="BK1218" s="95">
        <f t="shared" si="745"/>
        <v>0.12291666666715173</v>
      </c>
      <c r="BL1218" s="95">
        <f t="shared" si="746"/>
        <v>0.12291666666715173</v>
      </c>
      <c r="BM1218" s="95" t="str">
        <f t="shared" si="747"/>
        <v>00:00</v>
      </c>
      <c r="BN1218" s="110"/>
    </row>
    <row r="1219" spans="1:66" s="8" customFormat="1" ht="12.75" customHeight="1" x14ac:dyDescent="0.25">
      <c r="A1219" s="150">
        <v>1122</v>
      </c>
      <c r="B1219" s="150">
        <v>56</v>
      </c>
      <c r="C1219" s="90">
        <v>12</v>
      </c>
      <c r="D1219" s="111" t="s">
        <v>148</v>
      </c>
      <c r="E1219" s="210" t="s">
        <v>1132</v>
      </c>
      <c r="F1219" s="150" t="s">
        <v>16</v>
      </c>
      <c r="G1219" s="150" t="s">
        <v>17</v>
      </c>
      <c r="H1219" s="150" t="s">
        <v>150</v>
      </c>
      <c r="I1219" s="150" t="s">
        <v>1148</v>
      </c>
      <c r="J1219" s="151">
        <v>45733</v>
      </c>
      <c r="K1219" s="135" t="s">
        <v>117</v>
      </c>
      <c r="L1219" s="135">
        <v>461000826</v>
      </c>
      <c r="M1219" s="151">
        <v>45733</v>
      </c>
      <c r="N1219" s="152">
        <v>45733.427083333336</v>
      </c>
      <c r="O1219" s="152">
        <v>45733.427083333336</v>
      </c>
      <c r="P1219" s="152">
        <v>45733.434027777781</v>
      </c>
      <c r="Q1219" s="152">
        <v>45733.583333333336</v>
      </c>
      <c r="R1219" s="152" t="s">
        <v>118</v>
      </c>
      <c r="S1219" s="152" t="s">
        <v>118</v>
      </c>
      <c r="T1219" s="152">
        <v>45733.625</v>
      </c>
      <c r="U1219" s="152">
        <v>45733.702777777777</v>
      </c>
      <c r="V1219" s="219">
        <f t="shared" si="740"/>
        <v>0.15625</v>
      </c>
      <c r="W1219" s="203">
        <v>0.20833333333333334</v>
      </c>
      <c r="X1219" s="219" t="str">
        <f t="shared" si="741"/>
        <v>00:00</v>
      </c>
      <c r="Y1219" s="96">
        <v>2</v>
      </c>
      <c r="Z1219" s="96">
        <v>56</v>
      </c>
      <c r="AA1219" s="96">
        <f t="shared" si="703"/>
        <v>58</v>
      </c>
      <c r="AB1219" s="97">
        <f t="shared" si="713"/>
        <v>138.14137931034483</v>
      </c>
      <c r="AC1219" s="97">
        <f t="shared" si="714"/>
        <v>3867.9586206896552</v>
      </c>
      <c r="AD1219" s="98">
        <v>4006.1</v>
      </c>
      <c r="AE1219" s="98">
        <v>4032.3</v>
      </c>
      <c r="AF1219" s="98">
        <v>4043.8</v>
      </c>
      <c r="AG1219" s="98">
        <f t="shared" si="715"/>
        <v>37.700000000000273</v>
      </c>
      <c r="AH1219" s="99">
        <v>672.5</v>
      </c>
      <c r="AI1219" s="100">
        <f t="shared" si="716"/>
        <v>2719455.5</v>
      </c>
      <c r="AJ1219" s="100">
        <f>(1.4*AH1219)*2</f>
        <v>1882.9999999999998</v>
      </c>
      <c r="AK1219" s="100">
        <v>0</v>
      </c>
      <c r="AL1219" s="100">
        <v>0</v>
      </c>
      <c r="AM1219" s="100">
        <v>0</v>
      </c>
      <c r="AN1219" s="100">
        <v>0</v>
      </c>
      <c r="AO1219" s="100">
        <v>0</v>
      </c>
      <c r="AP1219" s="100">
        <f t="shared" si="725"/>
        <v>136067</v>
      </c>
      <c r="AQ1219" s="101">
        <f t="shared" si="726"/>
        <v>2857406</v>
      </c>
      <c r="AR1219" s="101">
        <v>0</v>
      </c>
      <c r="AS1219" s="101">
        <v>0</v>
      </c>
      <c r="AT1219" s="102" t="s">
        <v>33</v>
      </c>
      <c r="AU1219" s="109" t="s">
        <v>118</v>
      </c>
      <c r="AV1219" s="100">
        <v>0</v>
      </c>
      <c r="AW1219" s="105">
        <v>0</v>
      </c>
      <c r="AX1219" s="216">
        <f t="shared" si="742"/>
        <v>0.93229140907068275</v>
      </c>
      <c r="AY1219" s="217">
        <f t="shared" si="743"/>
        <v>25354</v>
      </c>
      <c r="AZ1219" s="107"/>
      <c r="BA1219" s="94">
        <v>45733.427083333336</v>
      </c>
      <c r="BB1219" s="94">
        <v>45733.434027777781</v>
      </c>
      <c r="BC1219" s="94">
        <v>45733.434027777781</v>
      </c>
      <c r="BD1219" s="94">
        <v>45733.550694444442</v>
      </c>
      <c r="BE1219" s="95">
        <f t="shared" si="698"/>
        <v>0.12361111110658385</v>
      </c>
      <c r="BF1219" s="95">
        <v>0</v>
      </c>
      <c r="BG1219" s="95">
        <v>0</v>
      </c>
      <c r="BH1219" s="95">
        <f t="shared" si="744"/>
        <v>6.9444444452528842E-3</v>
      </c>
      <c r="BI1219" s="95">
        <f t="shared" si="744"/>
        <v>0</v>
      </c>
      <c r="BJ1219" s="95">
        <f t="shared" si="744"/>
        <v>0.11666666666133096</v>
      </c>
      <c r="BK1219" s="95">
        <f t="shared" si="745"/>
        <v>0.11666666666133096</v>
      </c>
      <c r="BL1219" s="95">
        <f t="shared" si="746"/>
        <v>0.11666666666133096</v>
      </c>
      <c r="BM1219" s="95" t="str">
        <f t="shared" si="747"/>
        <v>00:00</v>
      </c>
      <c r="BN1219" s="110"/>
    </row>
    <row r="1220" spans="1:66" s="8" customFormat="1" ht="12.75" customHeight="1" x14ac:dyDescent="0.25">
      <c r="A1220" s="150">
        <v>1123</v>
      </c>
      <c r="B1220" s="150">
        <v>57</v>
      </c>
      <c r="C1220" s="90">
        <v>13</v>
      </c>
      <c r="D1220" s="111" t="s">
        <v>148</v>
      </c>
      <c r="E1220" s="210" t="s">
        <v>1132</v>
      </c>
      <c r="F1220" s="150" t="s">
        <v>16</v>
      </c>
      <c r="G1220" s="150" t="s">
        <v>17</v>
      </c>
      <c r="H1220" s="150" t="s">
        <v>150</v>
      </c>
      <c r="I1220" s="150" t="s">
        <v>1149</v>
      </c>
      <c r="J1220" s="151">
        <v>45733</v>
      </c>
      <c r="K1220" s="135" t="s">
        <v>122</v>
      </c>
      <c r="L1220" s="135">
        <v>461000827</v>
      </c>
      <c r="M1220" s="151">
        <v>45734</v>
      </c>
      <c r="N1220" s="152">
        <v>45733.770833333336</v>
      </c>
      <c r="O1220" s="152">
        <v>45733.770833333336</v>
      </c>
      <c r="P1220" s="152">
        <v>45733.774305555555</v>
      </c>
      <c r="Q1220" s="152">
        <v>45733.979166666664</v>
      </c>
      <c r="R1220" s="152" t="s">
        <v>118</v>
      </c>
      <c r="S1220" s="152" t="s">
        <v>118</v>
      </c>
      <c r="T1220" s="152">
        <v>45733.989583333336</v>
      </c>
      <c r="U1220" s="152">
        <v>45734.128472222219</v>
      </c>
      <c r="V1220" s="219">
        <f t="shared" si="740"/>
        <v>0.20833333332848269</v>
      </c>
      <c r="W1220" s="203">
        <v>0.20833333333333334</v>
      </c>
      <c r="X1220" s="219" t="str">
        <f t="shared" si="741"/>
        <v>00:00</v>
      </c>
      <c r="Y1220" s="96">
        <v>0</v>
      </c>
      <c r="Z1220" s="96">
        <v>58</v>
      </c>
      <c r="AA1220" s="96">
        <f t="shared" si="703"/>
        <v>58</v>
      </c>
      <c r="AB1220" s="97">
        <f t="shared" si="713"/>
        <v>0</v>
      </c>
      <c r="AC1220" s="97">
        <f t="shared" si="714"/>
        <v>3953.4200000000005</v>
      </c>
      <c r="AD1220" s="98">
        <v>3953.42</v>
      </c>
      <c r="AE1220" s="98">
        <v>4028.7</v>
      </c>
      <c r="AF1220" s="98">
        <v>4039.4</v>
      </c>
      <c r="AG1220" s="98">
        <f t="shared" si="715"/>
        <v>85.980000000000018</v>
      </c>
      <c r="AH1220" s="99">
        <v>672.5</v>
      </c>
      <c r="AI1220" s="100">
        <f t="shared" si="716"/>
        <v>2716496.5</v>
      </c>
      <c r="AJ1220" s="100">
        <f>(0*AH1220)*2</f>
        <v>0</v>
      </c>
      <c r="AK1220" s="100">
        <v>0</v>
      </c>
      <c r="AL1220" s="100">
        <v>24140</v>
      </c>
      <c r="AM1220" s="100">
        <v>0</v>
      </c>
      <c r="AN1220" s="100">
        <v>0</v>
      </c>
      <c r="AO1220" s="100">
        <v>0</v>
      </c>
      <c r="AP1220" s="100">
        <f t="shared" si="725"/>
        <v>137032</v>
      </c>
      <c r="AQ1220" s="101">
        <f t="shared" si="726"/>
        <v>2877669</v>
      </c>
      <c r="AR1220" s="101">
        <v>0</v>
      </c>
      <c r="AS1220" s="101">
        <v>0</v>
      </c>
      <c r="AT1220" s="102" t="s">
        <v>33</v>
      </c>
      <c r="AU1220" s="109">
        <v>5</v>
      </c>
      <c r="AV1220" s="100">
        <f>12.21-9.21</f>
        <v>3</v>
      </c>
      <c r="AW1220" s="105">
        <v>0</v>
      </c>
      <c r="AX1220" s="216">
        <f t="shared" si="742"/>
        <v>2.1285339406842607</v>
      </c>
      <c r="AY1220" s="217">
        <f t="shared" si="743"/>
        <v>57822</v>
      </c>
      <c r="AZ1220" s="107"/>
      <c r="BA1220" s="94">
        <v>45733.770833333336</v>
      </c>
      <c r="BB1220" s="94">
        <v>45733.774305555555</v>
      </c>
      <c r="BC1220" s="94">
        <v>45733.78125</v>
      </c>
      <c r="BD1220" s="94">
        <v>45733.96875</v>
      </c>
      <c r="BE1220" s="95">
        <f t="shared" si="698"/>
        <v>0.19791666666424135</v>
      </c>
      <c r="BF1220" s="95">
        <v>2.361111111111111E-2</v>
      </c>
      <c r="BG1220" s="95">
        <v>1.6666666666666666E-2</v>
      </c>
      <c r="BH1220" s="95">
        <f t="shared" si="744"/>
        <v>3.4722222189884633E-3</v>
      </c>
      <c r="BI1220" s="95">
        <f t="shared" si="744"/>
        <v>6.9444444452528842E-3</v>
      </c>
      <c r="BJ1220" s="95">
        <f t="shared" si="744"/>
        <v>0.1875</v>
      </c>
      <c r="BK1220" s="95">
        <f t="shared" si="745"/>
        <v>0.19444444444525288</v>
      </c>
      <c r="BL1220" s="95">
        <f t="shared" si="746"/>
        <v>0.15416666666747511</v>
      </c>
      <c r="BM1220" s="95" t="str">
        <f t="shared" si="747"/>
        <v>00:00</v>
      </c>
      <c r="BN1220" s="110"/>
    </row>
    <row r="1221" spans="1:66" s="8" customFormat="1" ht="12.75" customHeight="1" x14ac:dyDescent="0.25">
      <c r="A1221" s="150">
        <v>1124</v>
      </c>
      <c r="B1221" s="150">
        <v>58</v>
      </c>
      <c r="C1221" s="90">
        <v>14</v>
      </c>
      <c r="D1221" s="111" t="s">
        <v>148</v>
      </c>
      <c r="E1221" s="210" t="s">
        <v>1132</v>
      </c>
      <c r="F1221" s="150" t="s">
        <v>16</v>
      </c>
      <c r="G1221" s="150" t="s">
        <v>17</v>
      </c>
      <c r="H1221" s="150" t="s">
        <v>150</v>
      </c>
      <c r="I1221" s="150" t="s">
        <v>1150</v>
      </c>
      <c r="J1221" s="151">
        <v>45733</v>
      </c>
      <c r="K1221" s="135" t="s">
        <v>117</v>
      </c>
      <c r="L1221" s="135">
        <v>461000828</v>
      </c>
      <c r="M1221" s="151">
        <v>45734</v>
      </c>
      <c r="N1221" s="152">
        <v>45733.958333333336</v>
      </c>
      <c r="O1221" s="152">
        <v>45733.958333333336</v>
      </c>
      <c r="P1221" s="152">
        <v>45733.961805555555</v>
      </c>
      <c r="Q1221" s="152">
        <v>45734.166666666664</v>
      </c>
      <c r="R1221" s="152" t="s">
        <v>118</v>
      </c>
      <c r="S1221" s="152" t="s">
        <v>118</v>
      </c>
      <c r="T1221" s="152">
        <v>45734.208333333336</v>
      </c>
      <c r="U1221" s="152">
        <v>45734.340277777781</v>
      </c>
      <c r="V1221" s="219">
        <f t="shared" si="740"/>
        <v>0.20833333332848269</v>
      </c>
      <c r="W1221" s="203">
        <v>0.20833333333333334</v>
      </c>
      <c r="X1221" s="219" t="str">
        <f t="shared" si="741"/>
        <v>00:00</v>
      </c>
      <c r="Y1221" s="96">
        <v>1</v>
      </c>
      <c r="Z1221" s="96">
        <v>58</v>
      </c>
      <c r="AA1221" s="96">
        <f t="shared" si="703"/>
        <v>59</v>
      </c>
      <c r="AB1221" s="97">
        <f t="shared" si="713"/>
        <v>68.815593220338982</v>
      </c>
      <c r="AC1221" s="97">
        <f t="shared" si="714"/>
        <v>3991.3044067796609</v>
      </c>
      <c r="AD1221" s="98">
        <v>4060.12</v>
      </c>
      <c r="AE1221" s="98">
        <v>4109.7</v>
      </c>
      <c r="AF1221" s="98">
        <v>4119.2</v>
      </c>
      <c r="AG1221" s="98">
        <f t="shared" si="715"/>
        <v>59.079999999999927</v>
      </c>
      <c r="AH1221" s="99">
        <v>672.5</v>
      </c>
      <c r="AI1221" s="100">
        <f t="shared" si="716"/>
        <v>2770162</v>
      </c>
      <c r="AJ1221" s="100">
        <f>(0*AH1221)*2</f>
        <v>0</v>
      </c>
      <c r="AK1221" s="100">
        <v>0</v>
      </c>
      <c r="AL1221" s="100">
        <v>24290</v>
      </c>
      <c r="AM1221" s="100">
        <v>0</v>
      </c>
      <c r="AN1221" s="100">
        <v>0</v>
      </c>
      <c r="AO1221" s="100">
        <v>0</v>
      </c>
      <c r="AP1221" s="100">
        <f t="shared" si="725"/>
        <v>139723</v>
      </c>
      <c r="AQ1221" s="101">
        <f t="shared" si="726"/>
        <v>2934175</v>
      </c>
      <c r="AR1221" s="101">
        <v>0</v>
      </c>
      <c r="AS1221" s="101">
        <v>0</v>
      </c>
      <c r="AT1221" s="102" t="s">
        <v>33</v>
      </c>
      <c r="AU1221" s="109">
        <v>4</v>
      </c>
      <c r="AV1221" s="100">
        <f>11.81-8.31</f>
        <v>3.5</v>
      </c>
      <c r="AW1221" s="105">
        <v>0</v>
      </c>
      <c r="AX1221" s="216">
        <f t="shared" si="742"/>
        <v>1.4342590794328978</v>
      </c>
      <c r="AY1221" s="217">
        <f t="shared" si="743"/>
        <v>39732</v>
      </c>
      <c r="AZ1221" s="107"/>
      <c r="BA1221" s="94">
        <v>45733.958333333336</v>
      </c>
      <c r="BB1221" s="94">
        <v>45733.961805555555</v>
      </c>
      <c r="BC1221" s="94">
        <v>45733.974305555559</v>
      </c>
      <c r="BD1221" s="94">
        <v>45734.118055555555</v>
      </c>
      <c r="BE1221" s="95">
        <f t="shared" si="698"/>
        <v>0.15972222221898846</v>
      </c>
      <c r="BF1221" s="95">
        <v>0</v>
      </c>
      <c r="BG1221" s="95">
        <v>3.4722222222222224E-2</v>
      </c>
      <c r="BH1221" s="95">
        <f t="shared" si="744"/>
        <v>3.4722222189884633E-3</v>
      </c>
      <c r="BI1221" s="95">
        <f t="shared" si="744"/>
        <v>1.2500000004365575E-2</v>
      </c>
      <c r="BJ1221" s="95">
        <f t="shared" si="744"/>
        <v>0.14374999999563443</v>
      </c>
      <c r="BK1221" s="95">
        <f t="shared" si="745"/>
        <v>0.15625</v>
      </c>
      <c r="BL1221" s="95">
        <f t="shared" si="746"/>
        <v>0.12152777777777778</v>
      </c>
      <c r="BM1221" s="95" t="str">
        <f t="shared" si="747"/>
        <v>00:00</v>
      </c>
      <c r="BN1221" s="110"/>
    </row>
    <row r="1222" spans="1:66" s="8" customFormat="1" ht="12.75" customHeight="1" x14ac:dyDescent="0.25">
      <c r="A1222" s="150">
        <v>1125</v>
      </c>
      <c r="B1222" s="150">
        <v>59</v>
      </c>
      <c r="C1222" s="90">
        <v>1</v>
      </c>
      <c r="D1222" s="111" t="s">
        <v>148</v>
      </c>
      <c r="E1222" s="210" t="s">
        <v>1113</v>
      </c>
      <c r="F1222" s="150" t="s">
        <v>19</v>
      </c>
      <c r="G1222" s="150" t="s">
        <v>17</v>
      </c>
      <c r="H1222" s="150" t="s">
        <v>150</v>
      </c>
      <c r="I1222" s="150" t="s">
        <v>1151</v>
      </c>
      <c r="J1222" s="151">
        <v>45733</v>
      </c>
      <c r="K1222" s="135" t="s">
        <v>122</v>
      </c>
      <c r="L1222" s="135">
        <v>461000829</v>
      </c>
      <c r="M1222" s="151">
        <v>45734</v>
      </c>
      <c r="N1222" s="152">
        <v>45734.166666666664</v>
      </c>
      <c r="O1222" s="152">
        <v>45734.166666666664</v>
      </c>
      <c r="P1222" s="152">
        <v>45734.170138888891</v>
      </c>
      <c r="Q1222" s="152">
        <v>45734.364583333336</v>
      </c>
      <c r="R1222" s="152" t="s">
        <v>118</v>
      </c>
      <c r="S1222" s="152" t="s">
        <v>118</v>
      </c>
      <c r="T1222" s="152">
        <v>45734.388888888891</v>
      </c>
      <c r="U1222" s="152">
        <v>45734.473611111112</v>
      </c>
      <c r="V1222" s="219">
        <f t="shared" si="740"/>
        <v>0.19791666667151731</v>
      </c>
      <c r="W1222" s="203">
        <v>0.20833333333333334</v>
      </c>
      <c r="X1222" s="219" t="str">
        <f t="shared" si="741"/>
        <v>00:00</v>
      </c>
      <c r="Y1222" s="96">
        <v>0</v>
      </c>
      <c r="Z1222" s="96">
        <v>59</v>
      </c>
      <c r="AA1222" s="96">
        <f t="shared" si="703"/>
        <v>59</v>
      </c>
      <c r="AB1222" s="97">
        <f t="shared" si="713"/>
        <v>0</v>
      </c>
      <c r="AC1222" s="97">
        <f t="shared" si="714"/>
        <v>4072.5000000000005</v>
      </c>
      <c r="AD1222" s="98">
        <v>4072.5</v>
      </c>
      <c r="AE1222" s="98">
        <v>4107.6000000000004</v>
      </c>
      <c r="AF1222" s="98">
        <v>4114.3999999999996</v>
      </c>
      <c r="AG1222" s="98">
        <f t="shared" si="715"/>
        <v>41.899999999999636</v>
      </c>
      <c r="AH1222" s="99">
        <v>672.5</v>
      </c>
      <c r="AI1222" s="100">
        <f t="shared" si="716"/>
        <v>2766933.9999999995</v>
      </c>
      <c r="AJ1222" s="100">
        <f>(0.8*AH1222)*2</f>
        <v>1076</v>
      </c>
      <c r="AK1222" s="100">
        <v>0</v>
      </c>
      <c r="AL1222" s="100">
        <v>0</v>
      </c>
      <c r="AM1222" s="100">
        <v>0</v>
      </c>
      <c r="AN1222" s="100">
        <v>0</v>
      </c>
      <c r="AO1222" s="100">
        <v>0</v>
      </c>
      <c r="AP1222" s="100">
        <f t="shared" si="725"/>
        <v>138401</v>
      </c>
      <c r="AQ1222" s="101">
        <f t="shared" si="726"/>
        <v>2906411</v>
      </c>
      <c r="AR1222" s="101">
        <v>0</v>
      </c>
      <c r="AS1222" s="101">
        <v>0</v>
      </c>
      <c r="AT1222" s="102" t="s">
        <v>33</v>
      </c>
      <c r="AU1222" s="109" t="s">
        <v>118</v>
      </c>
      <c r="AV1222" s="100">
        <v>0</v>
      </c>
      <c r="AW1222" s="105">
        <v>0</v>
      </c>
      <c r="AX1222" s="216">
        <f t="shared" si="742"/>
        <v>1.0183744895975024</v>
      </c>
      <c r="AY1222" s="217">
        <f t="shared" si="743"/>
        <v>28178</v>
      </c>
      <c r="AZ1222" s="107"/>
      <c r="BA1222" s="94">
        <v>45734.166666666664</v>
      </c>
      <c r="BB1222" s="94">
        <v>45734.170138888891</v>
      </c>
      <c r="BC1222" s="94">
        <v>45734.170138888891</v>
      </c>
      <c r="BD1222" s="94">
        <v>45734.288194444445</v>
      </c>
      <c r="BE1222" s="95">
        <f t="shared" si="698"/>
        <v>0.12152777778101154</v>
      </c>
      <c r="BF1222" s="95">
        <v>0</v>
      </c>
      <c r="BG1222" s="95">
        <v>0</v>
      </c>
      <c r="BH1222" s="95">
        <f t="shared" si="744"/>
        <v>3.4722222262644209E-3</v>
      </c>
      <c r="BI1222" s="95">
        <f t="shared" si="744"/>
        <v>0</v>
      </c>
      <c r="BJ1222" s="95">
        <f t="shared" si="744"/>
        <v>0.11805555555474712</v>
      </c>
      <c r="BK1222" s="95">
        <f t="shared" si="745"/>
        <v>0.11805555555474712</v>
      </c>
      <c r="BL1222" s="95">
        <f t="shared" si="746"/>
        <v>0.11805555555474712</v>
      </c>
      <c r="BM1222" s="95" t="str">
        <f t="shared" si="747"/>
        <v>00:00</v>
      </c>
      <c r="BN1222" s="110"/>
    </row>
    <row r="1223" spans="1:66" s="8" customFormat="1" ht="12.75" customHeight="1" x14ac:dyDescent="0.25">
      <c r="A1223" s="150">
        <v>1126</v>
      </c>
      <c r="B1223" s="150">
        <v>60</v>
      </c>
      <c r="C1223" s="90">
        <v>2</v>
      </c>
      <c r="D1223" s="111" t="s">
        <v>148</v>
      </c>
      <c r="E1223" s="210" t="s">
        <v>1152</v>
      </c>
      <c r="F1223" s="150" t="s">
        <v>19</v>
      </c>
      <c r="G1223" s="150" t="s">
        <v>17</v>
      </c>
      <c r="H1223" s="150" t="s">
        <v>150</v>
      </c>
      <c r="I1223" s="150" t="s">
        <v>1153</v>
      </c>
      <c r="J1223" s="151">
        <v>45733</v>
      </c>
      <c r="K1223" s="135" t="s">
        <v>117</v>
      </c>
      <c r="L1223" s="135">
        <v>461000830</v>
      </c>
      <c r="M1223" s="151">
        <v>45734</v>
      </c>
      <c r="N1223" s="152">
        <v>45734.385416666664</v>
      </c>
      <c r="O1223" s="152">
        <v>45734.385416666664</v>
      </c>
      <c r="P1223" s="152">
        <v>45734.388888888891</v>
      </c>
      <c r="Q1223" s="152">
        <v>45734.53125</v>
      </c>
      <c r="R1223" s="152" t="s">
        <v>118</v>
      </c>
      <c r="S1223" s="152" t="s">
        <v>118</v>
      </c>
      <c r="T1223" s="152">
        <v>45734.583333333336</v>
      </c>
      <c r="U1223" s="152">
        <v>45734.680555555555</v>
      </c>
      <c r="V1223" s="219">
        <f t="shared" si="740"/>
        <v>0.14583333333575865</v>
      </c>
      <c r="W1223" s="203">
        <v>0.20833333333333334</v>
      </c>
      <c r="X1223" s="219" t="str">
        <f t="shared" si="741"/>
        <v>00:00</v>
      </c>
      <c r="Y1223" s="96">
        <v>0</v>
      </c>
      <c r="Z1223" s="96">
        <v>58</v>
      </c>
      <c r="AA1223" s="96">
        <f t="shared" si="703"/>
        <v>58</v>
      </c>
      <c r="AB1223" s="97">
        <f t="shared" si="713"/>
        <v>0</v>
      </c>
      <c r="AC1223" s="97">
        <f t="shared" si="714"/>
        <v>4001.4400000000005</v>
      </c>
      <c r="AD1223" s="98">
        <v>4001.44</v>
      </c>
      <c r="AE1223" s="98">
        <v>4010.7</v>
      </c>
      <c r="AF1223" s="98">
        <v>4027.8</v>
      </c>
      <c r="AG1223" s="98">
        <f t="shared" si="715"/>
        <v>26.360000000000127</v>
      </c>
      <c r="AH1223" s="99">
        <v>672.5</v>
      </c>
      <c r="AI1223" s="100">
        <f t="shared" si="716"/>
        <v>2708695.5</v>
      </c>
      <c r="AJ1223" s="100">
        <f>(0*AH1223)*2</f>
        <v>0</v>
      </c>
      <c r="AK1223" s="100">
        <v>0</v>
      </c>
      <c r="AL1223" s="100">
        <v>24140</v>
      </c>
      <c r="AM1223" s="100">
        <v>0</v>
      </c>
      <c r="AN1223" s="100">
        <v>0</v>
      </c>
      <c r="AO1223" s="100">
        <v>0</v>
      </c>
      <c r="AP1223" s="100">
        <f t="shared" si="725"/>
        <v>136642</v>
      </c>
      <c r="AQ1223" s="101">
        <f t="shared" si="726"/>
        <v>2869478</v>
      </c>
      <c r="AR1223" s="101">
        <v>0</v>
      </c>
      <c r="AS1223" s="101">
        <v>0</v>
      </c>
      <c r="AT1223" s="102" t="s">
        <v>33</v>
      </c>
      <c r="AU1223" s="109">
        <v>7</v>
      </c>
      <c r="AV1223" s="100">
        <f>19.18-15.18</f>
        <v>4</v>
      </c>
      <c r="AW1223" s="105">
        <v>0</v>
      </c>
      <c r="AX1223" s="216">
        <f t="shared" si="742"/>
        <v>0.6544515616465596</v>
      </c>
      <c r="AY1223" s="217">
        <f t="shared" si="743"/>
        <v>17728</v>
      </c>
      <c r="AZ1223" s="107"/>
      <c r="BA1223" s="94">
        <v>45734.385416666664</v>
      </c>
      <c r="BB1223" s="94">
        <v>45734.388888888891</v>
      </c>
      <c r="BC1223" s="94">
        <v>45734.388888888891</v>
      </c>
      <c r="BD1223" s="94">
        <v>45734.495138888888</v>
      </c>
      <c r="BE1223" s="95">
        <f t="shared" si="698"/>
        <v>0.10972222222335404</v>
      </c>
      <c r="BF1223" s="95">
        <v>0</v>
      </c>
      <c r="BG1223" s="95">
        <v>0</v>
      </c>
      <c r="BH1223" s="95">
        <f t="shared" si="744"/>
        <v>3.4722222262644209E-3</v>
      </c>
      <c r="BI1223" s="95">
        <f t="shared" si="744"/>
        <v>0</v>
      </c>
      <c r="BJ1223" s="95">
        <f t="shared" si="744"/>
        <v>0.10624999999708962</v>
      </c>
      <c r="BK1223" s="95">
        <f t="shared" si="745"/>
        <v>0.10624999999708962</v>
      </c>
      <c r="BL1223" s="95">
        <f t="shared" si="746"/>
        <v>0.10624999999708962</v>
      </c>
      <c r="BM1223" s="95" t="str">
        <f t="shared" si="747"/>
        <v>00:00</v>
      </c>
      <c r="BN1223" s="110"/>
    </row>
    <row r="1224" spans="1:66" s="8" customFormat="1" ht="12.75" customHeight="1" x14ac:dyDescent="0.25">
      <c r="A1224" s="150">
        <v>1127</v>
      </c>
      <c r="B1224" s="150">
        <v>61</v>
      </c>
      <c r="C1224" s="90">
        <v>3</v>
      </c>
      <c r="D1224" s="111" t="s">
        <v>148</v>
      </c>
      <c r="E1224" s="210" t="s">
        <v>1152</v>
      </c>
      <c r="F1224" s="150" t="s">
        <v>19</v>
      </c>
      <c r="G1224" s="150" t="s">
        <v>17</v>
      </c>
      <c r="H1224" s="150" t="s">
        <v>150</v>
      </c>
      <c r="I1224" s="150" t="s">
        <v>1154</v>
      </c>
      <c r="J1224" s="151">
        <v>45733</v>
      </c>
      <c r="K1224" s="135" t="s">
        <v>122</v>
      </c>
      <c r="L1224" s="135">
        <v>461000831</v>
      </c>
      <c r="M1224" s="151">
        <v>45735</v>
      </c>
      <c r="N1224" s="152">
        <v>45734.65625</v>
      </c>
      <c r="O1224" s="152">
        <v>45734.65625</v>
      </c>
      <c r="P1224" s="152">
        <v>45734.659722222219</v>
      </c>
      <c r="Q1224" s="152">
        <v>45734.8125</v>
      </c>
      <c r="R1224" s="152" t="s">
        <v>118</v>
      </c>
      <c r="S1224" s="152" t="s">
        <v>118</v>
      </c>
      <c r="T1224" s="152">
        <v>45734.958333333336</v>
      </c>
      <c r="U1224" s="152">
        <v>45735.118055555555</v>
      </c>
      <c r="V1224" s="219">
        <f t="shared" si="740"/>
        <v>0.15625</v>
      </c>
      <c r="W1224" s="203">
        <v>0.20833333333333334</v>
      </c>
      <c r="X1224" s="219" t="str">
        <f t="shared" si="741"/>
        <v>00:00</v>
      </c>
      <c r="Y1224" s="96">
        <v>0</v>
      </c>
      <c r="Z1224" s="96">
        <v>59</v>
      </c>
      <c r="AA1224" s="96">
        <f t="shared" si="703"/>
        <v>59</v>
      </c>
      <c r="AB1224" s="97">
        <f t="shared" si="713"/>
        <v>0</v>
      </c>
      <c r="AC1224" s="97">
        <f t="shared" si="714"/>
        <v>4098.17</v>
      </c>
      <c r="AD1224" s="98">
        <v>4098.17</v>
      </c>
      <c r="AE1224" s="98">
        <v>4108.1000000000004</v>
      </c>
      <c r="AF1224" s="98">
        <v>4125.3999999999996</v>
      </c>
      <c r="AG1224" s="98">
        <f t="shared" si="715"/>
        <v>27.229999999999563</v>
      </c>
      <c r="AH1224" s="99">
        <v>672.5</v>
      </c>
      <c r="AI1224" s="100">
        <f t="shared" si="716"/>
        <v>2774331.4999999995</v>
      </c>
      <c r="AJ1224" s="100">
        <f>(0*AH1224)*2</f>
        <v>0</v>
      </c>
      <c r="AK1224" s="100">
        <v>0</v>
      </c>
      <c r="AL1224" s="100">
        <v>24290</v>
      </c>
      <c r="AM1224" s="100">
        <v>0</v>
      </c>
      <c r="AN1224" s="100">
        <v>0</v>
      </c>
      <c r="AO1224" s="100">
        <v>0</v>
      </c>
      <c r="AP1224" s="100">
        <f t="shared" si="725"/>
        <v>139932</v>
      </c>
      <c r="AQ1224" s="101">
        <f t="shared" si="726"/>
        <v>2938554</v>
      </c>
      <c r="AR1224" s="101">
        <v>0</v>
      </c>
      <c r="AS1224" s="101">
        <v>0</v>
      </c>
      <c r="AT1224" s="102" t="s">
        <v>33</v>
      </c>
      <c r="AU1224" s="109">
        <v>7</v>
      </c>
      <c r="AV1224" s="100">
        <f>19.4-15.4</f>
        <v>3.9999999999999982</v>
      </c>
      <c r="AW1224" s="105">
        <v>0</v>
      </c>
      <c r="AX1224" s="216">
        <f t="shared" si="742"/>
        <v>0.66005720657389744</v>
      </c>
      <c r="AY1224" s="217">
        <f t="shared" si="743"/>
        <v>18313</v>
      </c>
      <c r="AZ1224" s="107"/>
      <c r="BA1224" s="94">
        <v>45734.65625</v>
      </c>
      <c r="BB1224" s="94">
        <v>45734.659722222219</v>
      </c>
      <c r="BC1224" s="94">
        <v>45734.659722222219</v>
      </c>
      <c r="BD1224" s="94">
        <v>45734.774305555555</v>
      </c>
      <c r="BE1224" s="95">
        <f t="shared" si="698"/>
        <v>0.11805555555474712</v>
      </c>
      <c r="BF1224" s="95">
        <v>0</v>
      </c>
      <c r="BG1224" s="95">
        <v>0</v>
      </c>
      <c r="BH1224" s="95">
        <f t="shared" si="744"/>
        <v>3.4722222189884633E-3</v>
      </c>
      <c r="BI1224" s="95">
        <f t="shared" si="744"/>
        <v>0</v>
      </c>
      <c r="BJ1224" s="95">
        <f t="shared" si="744"/>
        <v>0.11458333333575865</v>
      </c>
      <c r="BK1224" s="95">
        <f t="shared" si="745"/>
        <v>0.11458333333575865</v>
      </c>
      <c r="BL1224" s="95">
        <f t="shared" si="746"/>
        <v>0.11458333333575865</v>
      </c>
      <c r="BM1224" s="95" t="str">
        <f t="shared" si="747"/>
        <v>00:00</v>
      </c>
      <c r="BN1224" s="110"/>
    </row>
    <row r="1225" spans="1:66" s="8" customFormat="1" ht="12.75" customHeight="1" x14ac:dyDescent="0.25">
      <c r="A1225" s="150">
        <v>1128</v>
      </c>
      <c r="B1225" s="150">
        <v>62</v>
      </c>
      <c r="C1225" s="90">
        <v>4</v>
      </c>
      <c r="D1225" s="111" t="s">
        <v>148</v>
      </c>
      <c r="E1225" s="210" t="s">
        <v>1152</v>
      </c>
      <c r="F1225" s="150" t="s">
        <v>19</v>
      </c>
      <c r="G1225" s="150" t="s">
        <v>17</v>
      </c>
      <c r="H1225" s="150" t="s">
        <v>150</v>
      </c>
      <c r="I1225" s="150" t="s">
        <v>1155</v>
      </c>
      <c r="J1225" s="151">
        <v>45734</v>
      </c>
      <c r="K1225" s="135" t="s">
        <v>117</v>
      </c>
      <c r="L1225" s="135">
        <v>461000832</v>
      </c>
      <c r="M1225" s="151">
        <v>45735</v>
      </c>
      <c r="N1225" s="152">
        <v>45735.083333333336</v>
      </c>
      <c r="O1225" s="152">
        <v>45735.083333333336</v>
      </c>
      <c r="P1225" s="152">
        <v>45735.09375</v>
      </c>
      <c r="Q1225" s="152">
        <v>45735.270833333336</v>
      </c>
      <c r="R1225" s="152" t="s">
        <v>118</v>
      </c>
      <c r="S1225" s="152" t="s">
        <v>118</v>
      </c>
      <c r="T1225" s="152">
        <v>45735.3125</v>
      </c>
      <c r="U1225" s="152">
        <v>45735.386111111111</v>
      </c>
      <c r="V1225" s="219">
        <f t="shared" si="740"/>
        <v>0.1875</v>
      </c>
      <c r="W1225" s="203">
        <v>0.20833333333333334</v>
      </c>
      <c r="X1225" s="219" t="str">
        <f t="shared" si="741"/>
        <v>00:00</v>
      </c>
      <c r="Y1225" s="96">
        <v>0</v>
      </c>
      <c r="Z1225" s="96">
        <v>58</v>
      </c>
      <c r="AA1225" s="96">
        <f t="shared" si="703"/>
        <v>58</v>
      </c>
      <c r="AB1225" s="97">
        <f t="shared" si="713"/>
        <v>0</v>
      </c>
      <c r="AC1225" s="97">
        <f t="shared" si="714"/>
        <v>4028.55</v>
      </c>
      <c r="AD1225" s="98">
        <v>4028.55</v>
      </c>
      <c r="AE1225" s="98">
        <v>4024.1</v>
      </c>
      <c r="AF1225" s="98">
        <v>4033.6</v>
      </c>
      <c r="AG1225" s="98">
        <f t="shared" si="715"/>
        <v>5.0499999999997272</v>
      </c>
      <c r="AH1225" s="99">
        <v>672.5</v>
      </c>
      <c r="AI1225" s="100">
        <f t="shared" si="716"/>
        <v>2712596</v>
      </c>
      <c r="AJ1225" s="100">
        <f>(14.8*AH1225)*3</f>
        <v>29859</v>
      </c>
      <c r="AK1225" s="100">
        <v>0</v>
      </c>
      <c r="AL1225" s="100">
        <v>0</v>
      </c>
      <c r="AM1225" s="100">
        <v>0</v>
      </c>
      <c r="AN1225" s="100">
        <v>0</v>
      </c>
      <c r="AO1225" s="100">
        <v>0</v>
      </c>
      <c r="AP1225" s="100">
        <f t="shared" si="725"/>
        <v>137123</v>
      </c>
      <c r="AQ1225" s="101">
        <f t="shared" si="726"/>
        <v>2879578</v>
      </c>
      <c r="AR1225" s="101">
        <v>0</v>
      </c>
      <c r="AS1225" s="101">
        <v>0</v>
      </c>
      <c r="AT1225" s="102" t="s">
        <v>33</v>
      </c>
      <c r="AU1225" s="109" t="s">
        <v>118</v>
      </c>
      <c r="AV1225" s="100">
        <v>0</v>
      </c>
      <c r="AW1225" s="105">
        <v>0</v>
      </c>
      <c r="AX1225" s="216">
        <f t="shared" si="742"/>
        <v>0.12519833399443989</v>
      </c>
      <c r="AY1225" s="217">
        <f t="shared" si="743"/>
        <v>3397</v>
      </c>
      <c r="AZ1225" s="107"/>
      <c r="BA1225" s="94">
        <v>45735.083333333336</v>
      </c>
      <c r="BB1225" s="94">
        <v>45735.09375</v>
      </c>
      <c r="BC1225" s="94">
        <v>45735.09375</v>
      </c>
      <c r="BD1225" s="94">
        <v>45735.222222222219</v>
      </c>
      <c r="BE1225" s="95">
        <f t="shared" si="698"/>
        <v>0.13888888888322981</v>
      </c>
      <c r="BF1225" s="95">
        <v>0</v>
      </c>
      <c r="BG1225" s="95">
        <v>0</v>
      </c>
      <c r="BH1225" s="95">
        <f t="shared" si="744"/>
        <v>1.0416666664241347E-2</v>
      </c>
      <c r="BI1225" s="95">
        <f t="shared" si="744"/>
        <v>0</v>
      </c>
      <c r="BJ1225" s="95">
        <f t="shared" si="744"/>
        <v>0.12847222221898846</v>
      </c>
      <c r="BK1225" s="95">
        <f t="shared" si="745"/>
        <v>0.12847222221898846</v>
      </c>
      <c r="BL1225" s="95">
        <f t="shared" si="746"/>
        <v>0.12847222221898846</v>
      </c>
      <c r="BM1225" s="95" t="str">
        <f t="shared" si="747"/>
        <v>00:00</v>
      </c>
      <c r="BN1225" s="110"/>
    </row>
    <row r="1226" spans="1:66" s="8" customFormat="1" ht="12.75" customHeight="1" x14ac:dyDescent="0.25">
      <c r="A1226" s="150">
        <v>1129</v>
      </c>
      <c r="B1226" s="150">
        <v>63</v>
      </c>
      <c r="C1226" s="90">
        <v>5</v>
      </c>
      <c r="D1226" s="111" t="s">
        <v>148</v>
      </c>
      <c r="E1226" s="210" t="s">
        <v>1152</v>
      </c>
      <c r="F1226" s="150" t="s">
        <v>19</v>
      </c>
      <c r="G1226" s="150" t="s">
        <v>17</v>
      </c>
      <c r="H1226" s="150" t="s">
        <v>150</v>
      </c>
      <c r="I1226" s="150" t="s">
        <v>1156</v>
      </c>
      <c r="J1226" s="151">
        <v>45734</v>
      </c>
      <c r="K1226" s="135" t="s">
        <v>122</v>
      </c>
      <c r="L1226" s="135">
        <v>461000833</v>
      </c>
      <c r="M1226" s="151">
        <v>45736</v>
      </c>
      <c r="N1226" s="152">
        <v>45735.645833333336</v>
      </c>
      <c r="O1226" s="152">
        <v>45735.645833333336</v>
      </c>
      <c r="P1226" s="152">
        <v>45735.652777777781</v>
      </c>
      <c r="Q1226" s="152">
        <v>45735.8125</v>
      </c>
      <c r="R1226" s="152" t="s">
        <v>118</v>
      </c>
      <c r="S1226" s="152" t="s">
        <v>118</v>
      </c>
      <c r="T1226" s="152">
        <v>45735.979166666664</v>
      </c>
      <c r="U1226" s="152">
        <v>45736.170138888891</v>
      </c>
      <c r="V1226" s="219">
        <f t="shared" si="740"/>
        <v>0.16666666666424135</v>
      </c>
      <c r="W1226" s="203">
        <v>0.20833333333333334</v>
      </c>
      <c r="X1226" s="219" t="str">
        <f t="shared" si="741"/>
        <v>00:00</v>
      </c>
      <c r="Y1226" s="96">
        <v>0</v>
      </c>
      <c r="Z1226" s="96">
        <v>58</v>
      </c>
      <c r="AA1226" s="96">
        <f t="shared" si="703"/>
        <v>58</v>
      </c>
      <c r="AB1226" s="97">
        <f t="shared" si="713"/>
        <v>0</v>
      </c>
      <c r="AC1226" s="97">
        <f t="shared" si="714"/>
        <v>4038.1899999999996</v>
      </c>
      <c r="AD1226" s="98">
        <v>4038.19</v>
      </c>
      <c r="AE1226" s="98">
        <v>4044.8</v>
      </c>
      <c r="AF1226" s="98">
        <v>4066.8</v>
      </c>
      <c r="AG1226" s="98">
        <f t="shared" si="715"/>
        <v>28.610000000000127</v>
      </c>
      <c r="AH1226" s="99">
        <v>672.5</v>
      </c>
      <c r="AI1226" s="100">
        <f t="shared" si="716"/>
        <v>2734923</v>
      </c>
      <c r="AJ1226" s="100">
        <f>(0*AH1226)*2</f>
        <v>0</v>
      </c>
      <c r="AK1226" s="100">
        <v>0</v>
      </c>
      <c r="AL1226" s="100">
        <v>24140</v>
      </c>
      <c r="AM1226" s="100">
        <v>0</v>
      </c>
      <c r="AN1226" s="100">
        <v>0</v>
      </c>
      <c r="AO1226" s="100">
        <v>0</v>
      </c>
      <c r="AP1226" s="100">
        <f t="shared" si="725"/>
        <v>137954</v>
      </c>
      <c r="AQ1226" s="101">
        <f t="shared" si="726"/>
        <v>2897017</v>
      </c>
      <c r="AR1226" s="101">
        <v>0</v>
      </c>
      <c r="AS1226" s="101">
        <v>0</v>
      </c>
      <c r="AT1226" s="102" t="s">
        <v>33</v>
      </c>
      <c r="AU1226" s="109">
        <v>11</v>
      </c>
      <c r="AV1226" s="100">
        <f>25.68-19.18</f>
        <v>6.5</v>
      </c>
      <c r="AW1226" s="105">
        <v>0</v>
      </c>
      <c r="AX1226" s="216">
        <f t="shared" si="742"/>
        <v>0.70350152454018211</v>
      </c>
      <c r="AY1226" s="217">
        <f t="shared" si="743"/>
        <v>19241</v>
      </c>
      <c r="AZ1226" s="107"/>
      <c r="BA1226" s="94">
        <v>45735.645833333336</v>
      </c>
      <c r="BB1226" s="94">
        <v>45735.652777777781</v>
      </c>
      <c r="BC1226" s="94">
        <v>45735.663194444445</v>
      </c>
      <c r="BD1226" s="94">
        <v>45735.795138888891</v>
      </c>
      <c r="BE1226" s="95">
        <f t="shared" si="698"/>
        <v>0.14930555555474712</v>
      </c>
      <c r="BF1226" s="95">
        <v>1.0416666666666666E-2</v>
      </c>
      <c r="BG1226" s="95">
        <v>4.8611111111111112E-3</v>
      </c>
      <c r="BH1226" s="95">
        <f t="shared" si="744"/>
        <v>6.9444444452528842E-3</v>
      </c>
      <c r="BI1226" s="95">
        <f t="shared" si="744"/>
        <v>1.0416666664241347E-2</v>
      </c>
      <c r="BJ1226" s="95">
        <f t="shared" si="744"/>
        <v>0.13194444444525288</v>
      </c>
      <c r="BK1226" s="95">
        <f t="shared" si="745"/>
        <v>0.14236111110949423</v>
      </c>
      <c r="BL1226" s="95">
        <f t="shared" si="746"/>
        <v>0.12708333333171645</v>
      </c>
      <c r="BM1226" s="95" t="str">
        <f t="shared" si="747"/>
        <v>00:00</v>
      </c>
      <c r="BN1226" s="110"/>
    </row>
    <row r="1227" spans="1:66" s="8" customFormat="1" ht="12.75" customHeight="1" x14ac:dyDescent="0.25">
      <c r="A1227" s="150">
        <v>1130</v>
      </c>
      <c r="B1227" s="150">
        <v>64</v>
      </c>
      <c r="C1227" s="90">
        <v>6</v>
      </c>
      <c r="D1227" s="111" t="s">
        <v>148</v>
      </c>
      <c r="E1227" s="210" t="s">
        <v>1152</v>
      </c>
      <c r="F1227" s="150" t="s">
        <v>19</v>
      </c>
      <c r="G1227" s="150" t="s">
        <v>17</v>
      </c>
      <c r="H1227" s="150" t="s">
        <v>150</v>
      </c>
      <c r="I1227" s="150" t="s">
        <v>1157</v>
      </c>
      <c r="J1227" s="151">
        <v>45734</v>
      </c>
      <c r="K1227" s="135" t="s">
        <v>122</v>
      </c>
      <c r="L1227" s="135">
        <v>461000834</v>
      </c>
      <c r="M1227" s="151">
        <v>45736</v>
      </c>
      <c r="N1227" s="152">
        <v>45736.364583333336</v>
      </c>
      <c r="O1227" s="152">
        <v>45736.364583333336</v>
      </c>
      <c r="P1227" s="152">
        <v>45736.371527777781</v>
      </c>
      <c r="Q1227" s="152">
        <v>45736.541666666664</v>
      </c>
      <c r="R1227" s="152" t="s">
        <v>118</v>
      </c>
      <c r="S1227" s="152" t="s">
        <v>118</v>
      </c>
      <c r="T1227" s="152">
        <v>45736.59375</v>
      </c>
      <c r="U1227" s="152">
        <v>45736.654861111114</v>
      </c>
      <c r="V1227" s="219">
        <f t="shared" si="740"/>
        <v>0.17708333332848269</v>
      </c>
      <c r="W1227" s="203">
        <v>0.20833333333333334</v>
      </c>
      <c r="X1227" s="219" t="str">
        <f t="shared" si="741"/>
        <v>00:00</v>
      </c>
      <c r="Y1227" s="96">
        <v>0</v>
      </c>
      <c r="Z1227" s="96">
        <v>58</v>
      </c>
      <c r="AA1227" s="96">
        <f t="shared" si="703"/>
        <v>58</v>
      </c>
      <c r="AB1227" s="97">
        <f t="shared" si="713"/>
        <v>0</v>
      </c>
      <c r="AC1227" s="97">
        <f t="shared" si="714"/>
        <v>3984.02</v>
      </c>
      <c r="AD1227" s="98">
        <v>3984.02</v>
      </c>
      <c r="AE1227" s="98">
        <v>4028.7</v>
      </c>
      <c r="AF1227" s="98">
        <v>4036.6</v>
      </c>
      <c r="AG1227" s="98">
        <f t="shared" si="715"/>
        <v>52.579999999999927</v>
      </c>
      <c r="AH1227" s="99">
        <v>672.5</v>
      </c>
      <c r="AI1227" s="100">
        <f t="shared" si="716"/>
        <v>2714613.5</v>
      </c>
      <c r="AJ1227" s="100">
        <f>(0.2*AH1227)*2</f>
        <v>269</v>
      </c>
      <c r="AK1227" s="100">
        <v>0</v>
      </c>
      <c r="AL1227" s="100">
        <v>0</v>
      </c>
      <c r="AM1227" s="100">
        <v>0</v>
      </c>
      <c r="AN1227" s="100">
        <v>0</v>
      </c>
      <c r="AO1227" s="100">
        <v>0</v>
      </c>
      <c r="AP1227" s="100">
        <f t="shared" si="725"/>
        <v>135745</v>
      </c>
      <c r="AQ1227" s="101">
        <f t="shared" ref="AQ1227:AQ1258" si="748">ROUNDUP(SUM(AI1227:AP1227),0)</f>
        <v>2850628</v>
      </c>
      <c r="AR1227" s="101">
        <v>0</v>
      </c>
      <c r="AS1227" s="101">
        <v>0</v>
      </c>
      <c r="AT1227" s="102" t="s">
        <v>33</v>
      </c>
      <c r="AU1227" s="109" t="s">
        <v>118</v>
      </c>
      <c r="AV1227" s="100">
        <v>0</v>
      </c>
      <c r="AW1227" s="105">
        <v>0</v>
      </c>
      <c r="AX1227" s="216">
        <f t="shared" si="742"/>
        <v>1.3025813803696162</v>
      </c>
      <c r="AY1227" s="217">
        <f t="shared" si="743"/>
        <v>35361</v>
      </c>
      <c r="AZ1227" s="107"/>
      <c r="BA1227" s="94">
        <v>45736.364583333336</v>
      </c>
      <c r="BB1227" s="94">
        <v>45736.371527777781</v>
      </c>
      <c r="BC1227" s="94">
        <v>45736.371527777781</v>
      </c>
      <c r="BD1227" s="94">
        <v>45736.491666666669</v>
      </c>
      <c r="BE1227" s="95">
        <f t="shared" si="698"/>
        <v>0.12708333333284827</v>
      </c>
      <c r="BF1227" s="95">
        <v>0</v>
      </c>
      <c r="BG1227" s="95">
        <v>1.1805555555555555E-2</v>
      </c>
      <c r="BH1227" s="95">
        <f t="shared" si="744"/>
        <v>6.9444444452528842E-3</v>
      </c>
      <c r="BI1227" s="95">
        <f t="shared" si="744"/>
        <v>0</v>
      </c>
      <c r="BJ1227" s="95">
        <f t="shared" si="744"/>
        <v>0.12013888888759539</v>
      </c>
      <c r="BK1227" s="95">
        <f t="shared" si="745"/>
        <v>0.12013888888759539</v>
      </c>
      <c r="BL1227" s="95">
        <f t="shared" si="746"/>
        <v>0.10833333333203983</v>
      </c>
      <c r="BM1227" s="95" t="str">
        <f t="shared" si="747"/>
        <v>00:00</v>
      </c>
      <c r="BN1227" s="110"/>
    </row>
    <row r="1228" spans="1:66" s="8" customFormat="1" ht="12.75" customHeight="1" x14ac:dyDescent="0.25">
      <c r="A1228" s="115">
        <v>1131</v>
      </c>
      <c r="B1228" s="115">
        <v>65</v>
      </c>
      <c r="C1228" s="90">
        <v>7</v>
      </c>
      <c r="D1228" s="115" t="s">
        <v>113</v>
      </c>
      <c r="E1228" s="210" t="s">
        <v>1111</v>
      </c>
      <c r="F1228" s="150" t="s">
        <v>41</v>
      </c>
      <c r="G1228" s="90" t="s">
        <v>12</v>
      </c>
      <c r="H1228" s="115" t="s">
        <v>115</v>
      </c>
      <c r="I1228" s="150" t="s">
        <v>1158</v>
      </c>
      <c r="J1228" s="151">
        <v>45736</v>
      </c>
      <c r="K1228" s="116" t="s">
        <v>117</v>
      </c>
      <c r="L1228" s="135">
        <v>282001147</v>
      </c>
      <c r="M1228" s="151">
        <v>45737</v>
      </c>
      <c r="N1228" s="118">
        <v>45736.604166666664</v>
      </c>
      <c r="O1228" s="118">
        <v>45736.604166666664</v>
      </c>
      <c r="P1228" s="118">
        <v>45736.635416666664</v>
      </c>
      <c r="Q1228" s="118">
        <v>45736.8125</v>
      </c>
      <c r="R1228" s="118" t="s">
        <v>118</v>
      </c>
      <c r="S1228" s="118" t="s">
        <v>118</v>
      </c>
      <c r="T1228" s="118">
        <v>45736.9375</v>
      </c>
      <c r="U1228" s="118">
        <v>45737.054166666669</v>
      </c>
      <c r="V1228" s="119">
        <f t="shared" si="740"/>
        <v>0.20833333333575865</v>
      </c>
      <c r="W1228" s="185">
        <v>0.20833333333333334</v>
      </c>
      <c r="X1228" s="119">
        <f t="shared" si="741"/>
        <v>2.4253099528692701E-12</v>
      </c>
      <c r="Y1228" s="96">
        <v>2</v>
      </c>
      <c r="Z1228" s="96">
        <v>8</v>
      </c>
      <c r="AA1228" s="96">
        <f t="shared" si="703"/>
        <v>10</v>
      </c>
      <c r="AB1228" s="97">
        <f t="shared" si="713"/>
        <v>135.45399999999995</v>
      </c>
      <c r="AC1228" s="97">
        <f t="shared" si="714"/>
        <v>541.8159999999998</v>
      </c>
      <c r="AD1228" s="98">
        <f>3938.95-3065.94-195.74</f>
        <v>677.26999999999975</v>
      </c>
      <c r="AE1228" s="98">
        <v>696.2</v>
      </c>
      <c r="AF1228" s="98">
        <v>698.2</v>
      </c>
      <c r="AG1228" s="98">
        <f t="shared" si="715"/>
        <v>20.930000000000291</v>
      </c>
      <c r="AH1228" s="99">
        <v>1586.7</v>
      </c>
      <c r="AI1228" s="100">
        <f t="shared" si="716"/>
        <v>1107833.9400000002</v>
      </c>
      <c r="AJ1228" s="100">
        <f>(0.6*AH1228)*2</f>
        <v>1904.04</v>
      </c>
      <c r="AK1228" s="100">
        <v>0</v>
      </c>
      <c r="AL1228" s="100">
        <v>0</v>
      </c>
      <c r="AM1228" s="100">
        <v>0</v>
      </c>
      <c r="AN1228" s="100">
        <v>0</v>
      </c>
      <c r="AO1228" s="100">
        <f>IFERROR(AF1228*20+(((AJ1228/AH1228)/2)*20),0)</f>
        <v>13976</v>
      </c>
      <c r="AP1228" s="100">
        <f t="shared" si="725"/>
        <v>56186</v>
      </c>
      <c r="AQ1228" s="101">
        <f t="shared" si="748"/>
        <v>1179900</v>
      </c>
      <c r="AR1228" s="101">
        <v>0</v>
      </c>
      <c r="AS1228" s="101">
        <v>0</v>
      </c>
      <c r="AT1228" s="137" t="s">
        <v>33</v>
      </c>
      <c r="AU1228" s="120" t="s">
        <v>118</v>
      </c>
      <c r="AV1228" s="121">
        <v>0</v>
      </c>
      <c r="AW1228" s="105">
        <v>0</v>
      </c>
      <c r="AX1228" s="216">
        <f t="shared" si="742"/>
        <v>2.9977083930106403</v>
      </c>
      <c r="AY1228" s="217">
        <f t="shared" si="743"/>
        <v>33210</v>
      </c>
      <c r="AZ1228" s="107"/>
      <c r="BA1228" s="118">
        <v>45736.604166666664</v>
      </c>
      <c r="BB1228" s="118">
        <v>45736.635416666664</v>
      </c>
      <c r="BC1228" s="118">
        <v>45736.638888888891</v>
      </c>
      <c r="BD1228" s="118">
        <v>45736.791666666664</v>
      </c>
      <c r="BE1228" s="119">
        <f t="shared" si="698"/>
        <v>0.1875</v>
      </c>
      <c r="BF1228" s="119">
        <v>0</v>
      </c>
      <c r="BG1228" s="119">
        <v>9.0277777777777769E-3</v>
      </c>
      <c r="BH1228" s="119">
        <f t="shared" si="744"/>
        <v>3.125E-2</v>
      </c>
      <c r="BI1228" s="119">
        <f t="shared" si="744"/>
        <v>3.4722222262644209E-3</v>
      </c>
      <c r="BJ1228" s="119">
        <f t="shared" si="744"/>
        <v>0.15277777777373558</v>
      </c>
      <c r="BK1228" s="119">
        <f t="shared" si="745"/>
        <v>0.15625</v>
      </c>
      <c r="BL1228" s="119">
        <f t="shared" si="746"/>
        <v>0.14722222222222223</v>
      </c>
      <c r="BM1228" s="119" t="str">
        <f t="shared" si="747"/>
        <v>00:00</v>
      </c>
      <c r="BN1228" s="110" t="s">
        <v>1159</v>
      </c>
    </row>
    <row r="1229" spans="1:66" s="8" customFormat="1" ht="12.75" customHeight="1" x14ac:dyDescent="0.25">
      <c r="A1229" s="179"/>
      <c r="B1229" s="179"/>
      <c r="C1229" s="90">
        <v>8</v>
      </c>
      <c r="D1229" s="179"/>
      <c r="E1229" s="210" t="s">
        <v>1079</v>
      </c>
      <c r="F1229" s="115" t="s">
        <v>27</v>
      </c>
      <c r="G1229" s="218" t="s">
        <v>12</v>
      </c>
      <c r="H1229" s="179"/>
      <c r="I1229" s="115" t="s">
        <v>1160</v>
      </c>
      <c r="J1229" s="117">
        <v>45736</v>
      </c>
      <c r="K1229" s="249"/>
      <c r="L1229" s="116">
        <v>282001148</v>
      </c>
      <c r="M1229" s="117">
        <v>45737</v>
      </c>
      <c r="N1229" s="242"/>
      <c r="O1229" s="242"/>
      <c r="P1229" s="242"/>
      <c r="Q1229" s="242"/>
      <c r="R1229" s="242"/>
      <c r="S1229" s="242"/>
      <c r="T1229" s="242"/>
      <c r="U1229" s="242"/>
      <c r="V1229" s="243"/>
      <c r="W1229" s="250"/>
      <c r="X1229" s="243"/>
      <c r="Y1229" s="96">
        <v>4</v>
      </c>
      <c r="Z1229" s="96">
        <v>41</v>
      </c>
      <c r="AA1229" s="96">
        <f t="shared" si="703"/>
        <v>45</v>
      </c>
      <c r="AB1229" s="97">
        <f t="shared" si="713"/>
        <v>272.52800000000002</v>
      </c>
      <c r="AC1229" s="97">
        <f t="shared" si="714"/>
        <v>2793.4120000000003</v>
      </c>
      <c r="AD1229" s="98">
        <v>3065.94</v>
      </c>
      <c r="AE1229" s="98">
        <f>3328-206</f>
        <v>3122</v>
      </c>
      <c r="AF1229" s="98">
        <f>3338-206</f>
        <v>3132</v>
      </c>
      <c r="AG1229" s="98">
        <f t="shared" si="715"/>
        <v>66.059999999999945</v>
      </c>
      <c r="AH1229" s="99">
        <v>1586.7</v>
      </c>
      <c r="AI1229" s="100">
        <f t="shared" si="716"/>
        <v>4969544.4000000004</v>
      </c>
      <c r="AJ1229" s="100">
        <f>(1.6*AH1229)*2</f>
        <v>5077.4400000000005</v>
      </c>
      <c r="AK1229" s="100">
        <v>0</v>
      </c>
      <c r="AL1229" s="100">
        <v>0</v>
      </c>
      <c r="AM1229" s="100">
        <v>0</v>
      </c>
      <c r="AN1229" s="100">
        <v>0</v>
      </c>
      <c r="AO1229" s="100">
        <f>IFERROR(AF1229*20+(((AJ1229/AH1229)/2)*20),0)</f>
        <v>62672</v>
      </c>
      <c r="AP1229" s="100">
        <f>ROUNDUP(SUM(AI1229:AO1229)*5%,0)-1</f>
        <v>251864</v>
      </c>
      <c r="AQ1229" s="101">
        <f t="shared" si="748"/>
        <v>5289158</v>
      </c>
      <c r="AR1229" s="101">
        <v>0</v>
      </c>
      <c r="AS1229" s="101">
        <v>0</v>
      </c>
      <c r="AT1229" s="268"/>
      <c r="AU1229" s="252"/>
      <c r="AV1229" s="269"/>
      <c r="AW1229" s="105">
        <v>0</v>
      </c>
      <c r="AX1229" s="140">
        <f>IFERROR(((AG1229+AG1230)/(AF1229+AF1230))*100, "")</f>
        <v>2.2863990413421189</v>
      </c>
      <c r="AY1229" s="141">
        <f>ROUNDUP((AG1229+AG1230)*AH1229,0)</f>
        <v>121097</v>
      </c>
      <c r="AZ1229" s="107"/>
      <c r="BA1229" s="242"/>
      <c r="BB1229" s="242"/>
      <c r="BC1229" s="242"/>
      <c r="BD1229" s="242"/>
      <c r="BE1229" s="243"/>
      <c r="BF1229" s="243"/>
      <c r="BG1229" s="243"/>
      <c r="BH1229" s="243"/>
      <c r="BI1229" s="243"/>
      <c r="BJ1229" s="243"/>
      <c r="BK1229" s="243"/>
      <c r="BL1229" s="243"/>
      <c r="BM1229" s="243"/>
      <c r="BN1229" s="110" t="s">
        <v>1161</v>
      </c>
    </row>
    <row r="1230" spans="1:66" s="8" customFormat="1" ht="12.75" customHeight="1" x14ac:dyDescent="0.25">
      <c r="A1230" s="122"/>
      <c r="B1230" s="122"/>
      <c r="C1230" s="90">
        <v>12</v>
      </c>
      <c r="D1230" s="122"/>
      <c r="E1230" s="210" t="s">
        <v>1066</v>
      </c>
      <c r="F1230" s="122"/>
      <c r="G1230" s="218"/>
      <c r="H1230" s="122"/>
      <c r="I1230" s="122"/>
      <c r="J1230" s="124"/>
      <c r="K1230" s="123"/>
      <c r="L1230" s="123"/>
      <c r="M1230" s="124"/>
      <c r="N1230" s="125"/>
      <c r="O1230" s="125"/>
      <c r="P1230" s="125"/>
      <c r="Q1230" s="125"/>
      <c r="R1230" s="125"/>
      <c r="S1230" s="125"/>
      <c r="T1230" s="125"/>
      <c r="U1230" s="125"/>
      <c r="V1230" s="126"/>
      <c r="W1230" s="189"/>
      <c r="X1230" s="126"/>
      <c r="Y1230" s="96">
        <v>0</v>
      </c>
      <c r="Z1230" s="96">
        <v>3</v>
      </c>
      <c r="AA1230" s="96">
        <f t="shared" si="703"/>
        <v>3</v>
      </c>
      <c r="AB1230" s="97">
        <f t="shared" si="713"/>
        <v>0</v>
      </c>
      <c r="AC1230" s="97">
        <f t="shared" si="714"/>
        <v>195.74</v>
      </c>
      <c r="AD1230" s="98">
        <v>195.74</v>
      </c>
      <c r="AE1230" s="98">
        <v>206</v>
      </c>
      <c r="AF1230" s="98">
        <v>206</v>
      </c>
      <c r="AG1230" s="98">
        <f t="shared" si="715"/>
        <v>10.259999999999991</v>
      </c>
      <c r="AH1230" s="99">
        <v>1586.7</v>
      </c>
      <c r="AI1230" s="100">
        <f t="shared" si="716"/>
        <v>326860.2</v>
      </c>
      <c r="AJ1230" s="100">
        <f>(0*AH1230)*2</f>
        <v>0</v>
      </c>
      <c r="AK1230" s="100">
        <v>0</v>
      </c>
      <c r="AL1230" s="100">
        <v>0</v>
      </c>
      <c r="AM1230" s="100">
        <v>0</v>
      </c>
      <c r="AN1230" s="100">
        <v>0</v>
      </c>
      <c r="AO1230" s="100">
        <f>IFERROR(AF1230*20+(((AJ1230/AH1230)/2)*20),0)</f>
        <v>4120</v>
      </c>
      <c r="AP1230" s="100">
        <f t="shared" ref="AP1230:AP1249" si="749">ROUNDUP(SUM(AI1230:AO1230)*5%,0)</f>
        <v>16550</v>
      </c>
      <c r="AQ1230" s="101">
        <f t="shared" si="748"/>
        <v>347531</v>
      </c>
      <c r="AR1230" s="101">
        <v>0</v>
      </c>
      <c r="AS1230" s="101">
        <v>0</v>
      </c>
      <c r="AT1230" s="138"/>
      <c r="AU1230" s="127"/>
      <c r="AV1230" s="128"/>
      <c r="AW1230" s="105">
        <v>0</v>
      </c>
      <c r="AX1230" s="144"/>
      <c r="AY1230" s="145"/>
      <c r="AZ1230" s="107"/>
      <c r="BA1230" s="125"/>
      <c r="BB1230" s="125"/>
      <c r="BC1230" s="125"/>
      <c r="BD1230" s="125"/>
      <c r="BE1230" s="126"/>
      <c r="BF1230" s="126"/>
      <c r="BG1230" s="126"/>
      <c r="BH1230" s="126"/>
      <c r="BI1230" s="126"/>
      <c r="BJ1230" s="126"/>
      <c r="BK1230" s="126"/>
      <c r="BL1230" s="126"/>
      <c r="BM1230" s="126"/>
      <c r="BN1230" s="110" t="s">
        <v>1162</v>
      </c>
    </row>
    <row r="1231" spans="1:66" s="8" customFormat="1" ht="12.75" customHeight="1" x14ac:dyDescent="0.25">
      <c r="A1231" s="150">
        <v>1132</v>
      </c>
      <c r="B1231" s="150">
        <v>66</v>
      </c>
      <c r="C1231" s="90">
        <v>7</v>
      </c>
      <c r="D1231" s="111" t="s">
        <v>148</v>
      </c>
      <c r="E1231" s="210" t="s">
        <v>1152</v>
      </c>
      <c r="F1231" s="150" t="s">
        <v>19</v>
      </c>
      <c r="G1231" s="150" t="s">
        <v>17</v>
      </c>
      <c r="H1231" s="150" t="s">
        <v>150</v>
      </c>
      <c r="I1231" s="150" t="s">
        <v>1163</v>
      </c>
      <c r="J1231" s="151">
        <v>45734</v>
      </c>
      <c r="K1231" s="135" t="s">
        <v>117</v>
      </c>
      <c r="L1231" s="135">
        <v>461000835</v>
      </c>
      <c r="M1231" s="151">
        <v>45737</v>
      </c>
      <c r="N1231" s="152">
        <v>45736.770833333336</v>
      </c>
      <c r="O1231" s="152">
        <v>45736.770833333336</v>
      </c>
      <c r="P1231" s="152">
        <v>45736.777777777781</v>
      </c>
      <c r="Q1231" s="152">
        <v>45736.979166666664</v>
      </c>
      <c r="R1231" s="152" t="s">
        <v>118</v>
      </c>
      <c r="S1231" s="152" t="s">
        <v>118</v>
      </c>
      <c r="T1231" s="152">
        <v>45737.097222222219</v>
      </c>
      <c r="U1231" s="152">
        <v>45737.232638888891</v>
      </c>
      <c r="V1231" s="219">
        <f t="shared" ref="V1231:V1247" si="750">+Q1231-O1231</f>
        <v>0.20833333332848269</v>
      </c>
      <c r="W1231" s="203">
        <v>0.20833333333333334</v>
      </c>
      <c r="X1231" s="219" t="str">
        <f t="shared" ref="X1231:X1247" si="751">IF(VALUE(V1231)&lt;=VALUE("05:00"),"00:00",VALUE(V1231)-VALUE("05:00"))</f>
        <v>00:00</v>
      </c>
      <c r="Y1231" s="96">
        <v>0</v>
      </c>
      <c r="Z1231" s="96">
        <v>58</v>
      </c>
      <c r="AA1231" s="96">
        <f t="shared" si="703"/>
        <v>58</v>
      </c>
      <c r="AB1231" s="97">
        <f t="shared" si="713"/>
        <v>0</v>
      </c>
      <c r="AC1231" s="97">
        <f t="shared" si="714"/>
        <v>4059.7</v>
      </c>
      <c r="AD1231" s="98">
        <v>4059.7</v>
      </c>
      <c r="AE1231" s="98">
        <v>4032.3</v>
      </c>
      <c r="AF1231" s="98">
        <v>4065.6</v>
      </c>
      <c r="AG1231" s="98">
        <f t="shared" si="715"/>
        <v>5.9000000000000909</v>
      </c>
      <c r="AH1231" s="99">
        <v>672.5</v>
      </c>
      <c r="AI1231" s="100">
        <f t="shared" si="716"/>
        <v>2734116</v>
      </c>
      <c r="AJ1231" s="100">
        <f>(0*AH1231)*2</f>
        <v>0</v>
      </c>
      <c r="AK1231" s="100">
        <v>0</v>
      </c>
      <c r="AL1231" s="100">
        <v>24140</v>
      </c>
      <c r="AM1231" s="100">
        <v>0</v>
      </c>
      <c r="AN1231" s="100">
        <v>0</v>
      </c>
      <c r="AO1231" s="100">
        <v>0</v>
      </c>
      <c r="AP1231" s="100">
        <f t="shared" si="749"/>
        <v>137913</v>
      </c>
      <c r="AQ1231" s="101">
        <f t="shared" si="748"/>
        <v>2896169</v>
      </c>
      <c r="AR1231" s="101">
        <v>0</v>
      </c>
      <c r="AS1231" s="101">
        <v>0</v>
      </c>
      <c r="AT1231" s="102" t="s">
        <v>33</v>
      </c>
      <c r="AU1231" s="109">
        <v>18</v>
      </c>
      <c r="AV1231" s="100">
        <f>40.53-29.53</f>
        <v>11</v>
      </c>
      <c r="AW1231" s="105">
        <v>0</v>
      </c>
      <c r="AX1231" s="216">
        <f t="shared" ref="AX1231:AX1246" si="752">IFERROR((AG1231/AF1231)*100, "")</f>
        <v>0.14512003148367009</v>
      </c>
      <c r="AY1231" s="217">
        <f t="shared" ref="AY1231:AY1246" si="753">ROUNDUP(AG1231*AH1231,0)</f>
        <v>3968</v>
      </c>
      <c r="AZ1231" s="107"/>
      <c r="BA1231" s="94">
        <v>45736.770833333336</v>
      </c>
      <c r="BB1231" s="94">
        <v>45736.777777777781</v>
      </c>
      <c r="BC1231" s="94">
        <v>45736.826388888891</v>
      </c>
      <c r="BD1231" s="94">
        <v>45736.954861111109</v>
      </c>
      <c r="BE1231" s="95">
        <f t="shared" ref="BE1231:BE1274" si="754">+BD1231-BA1231</f>
        <v>0.18402777777373558</v>
      </c>
      <c r="BF1231" s="95">
        <v>1.3888888888888888E-2</v>
      </c>
      <c r="BG1231" s="95">
        <v>3.4722222222222224E-2</v>
      </c>
      <c r="BH1231" s="95">
        <f t="shared" ref="BH1231:BJ1265" si="755">+BB1231-BA1231</f>
        <v>6.9444444452528842E-3</v>
      </c>
      <c r="BI1231" s="95">
        <f t="shared" si="755"/>
        <v>4.8611111109494232E-2</v>
      </c>
      <c r="BJ1231" s="95">
        <f t="shared" si="755"/>
        <v>0.12847222221898846</v>
      </c>
      <c r="BK1231" s="95">
        <f t="shared" ref="BK1231:BK1247" si="756">+BI1231+BJ1231</f>
        <v>0.17708333332848269</v>
      </c>
      <c r="BL1231" s="95">
        <f t="shared" ref="BL1231:BL1247" si="757">+BE1231-BH1231-BF1231-BG1231</f>
        <v>0.12847222221737159</v>
      </c>
      <c r="BM1231" s="95" t="str">
        <f t="shared" ref="BM1231:BM1247" si="758">IF(VALUE(BE1231)&lt;=VALUE("05:00"),"00:00",VALUE(BE1231)-VALUE("05:00"))</f>
        <v>00:00</v>
      </c>
      <c r="BN1231" s="110"/>
    </row>
    <row r="1232" spans="1:66" s="8" customFormat="1" ht="12.75" customHeight="1" x14ac:dyDescent="0.25">
      <c r="A1232" s="150">
        <v>1133</v>
      </c>
      <c r="B1232" s="150">
        <v>67</v>
      </c>
      <c r="C1232" s="90">
        <v>8</v>
      </c>
      <c r="D1232" s="111" t="s">
        <v>148</v>
      </c>
      <c r="E1232" s="210" t="s">
        <v>1152</v>
      </c>
      <c r="F1232" s="150" t="s">
        <v>19</v>
      </c>
      <c r="G1232" s="150" t="s">
        <v>17</v>
      </c>
      <c r="H1232" s="150" t="s">
        <v>150</v>
      </c>
      <c r="I1232" s="150" t="s">
        <v>1164</v>
      </c>
      <c r="J1232" s="151">
        <v>45735</v>
      </c>
      <c r="K1232" s="135" t="s">
        <v>122</v>
      </c>
      <c r="L1232" s="135">
        <v>461000836</v>
      </c>
      <c r="M1232" s="151">
        <v>45737</v>
      </c>
      <c r="N1232" s="152">
        <v>45737.520833333336</v>
      </c>
      <c r="O1232" s="152">
        <v>45737.520833333336</v>
      </c>
      <c r="P1232" s="152">
        <v>45737.53125</v>
      </c>
      <c r="Q1232" s="152">
        <v>45737.729166666664</v>
      </c>
      <c r="R1232" s="152" t="s">
        <v>118</v>
      </c>
      <c r="S1232" s="152" t="s">
        <v>118</v>
      </c>
      <c r="T1232" s="152">
        <v>45737.760416666664</v>
      </c>
      <c r="U1232" s="152">
        <v>45737.84375</v>
      </c>
      <c r="V1232" s="219">
        <f t="shared" si="750"/>
        <v>0.20833333332848269</v>
      </c>
      <c r="W1232" s="203">
        <v>0.20833333333333334</v>
      </c>
      <c r="X1232" s="219" t="str">
        <f t="shared" si="751"/>
        <v>00:00</v>
      </c>
      <c r="Y1232" s="96">
        <v>0</v>
      </c>
      <c r="Z1232" s="96">
        <v>58</v>
      </c>
      <c r="AA1232" s="96">
        <f t="shared" si="703"/>
        <v>58</v>
      </c>
      <c r="AB1232" s="97">
        <f t="shared" si="713"/>
        <v>0</v>
      </c>
      <c r="AC1232" s="97">
        <f t="shared" si="714"/>
        <v>4035.9499999999994</v>
      </c>
      <c r="AD1232" s="98">
        <v>4035.95</v>
      </c>
      <c r="AE1232" s="98">
        <v>4042.9</v>
      </c>
      <c r="AF1232" s="98">
        <v>4059</v>
      </c>
      <c r="AG1232" s="98">
        <f t="shared" si="715"/>
        <v>23.050000000000182</v>
      </c>
      <c r="AH1232" s="99">
        <v>672.5</v>
      </c>
      <c r="AI1232" s="100">
        <f t="shared" si="716"/>
        <v>2729677.5</v>
      </c>
      <c r="AJ1232" s="100">
        <f>(0*AH1232)*2</f>
        <v>0</v>
      </c>
      <c r="AK1232" s="100">
        <v>0</v>
      </c>
      <c r="AL1232" s="100">
        <v>24140</v>
      </c>
      <c r="AM1232" s="100">
        <v>0</v>
      </c>
      <c r="AN1232" s="100">
        <v>0</v>
      </c>
      <c r="AO1232" s="100">
        <v>0</v>
      </c>
      <c r="AP1232" s="100">
        <f t="shared" si="749"/>
        <v>137691</v>
      </c>
      <c r="AQ1232" s="101">
        <f t="shared" si="748"/>
        <v>2891509</v>
      </c>
      <c r="AR1232" s="101">
        <v>0</v>
      </c>
      <c r="AS1232" s="101">
        <v>0</v>
      </c>
      <c r="AT1232" s="102" t="s">
        <v>33</v>
      </c>
      <c r="AU1232" s="109">
        <v>10</v>
      </c>
      <c r="AV1232" s="100">
        <f>20.17-13.17</f>
        <v>7.0000000000000018</v>
      </c>
      <c r="AW1232" s="105">
        <v>0</v>
      </c>
      <c r="AX1232" s="216">
        <f t="shared" si="752"/>
        <v>0.5678738605567919</v>
      </c>
      <c r="AY1232" s="217">
        <f t="shared" si="753"/>
        <v>15502</v>
      </c>
      <c r="AZ1232" s="107"/>
      <c r="BA1232" s="94">
        <v>45737.520833333336</v>
      </c>
      <c r="BB1232" s="94">
        <v>45737.53125</v>
      </c>
      <c r="BC1232" s="94">
        <v>45737.53125</v>
      </c>
      <c r="BD1232" s="94">
        <v>45737.681944444441</v>
      </c>
      <c r="BE1232" s="95">
        <f t="shared" si="754"/>
        <v>0.16111111110512866</v>
      </c>
      <c r="BF1232" s="95">
        <v>0</v>
      </c>
      <c r="BG1232" s="95">
        <v>1.9444444444444445E-2</v>
      </c>
      <c r="BH1232" s="95">
        <f t="shared" si="755"/>
        <v>1.0416666664241347E-2</v>
      </c>
      <c r="BI1232" s="95">
        <f t="shared" si="755"/>
        <v>0</v>
      </c>
      <c r="BJ1232" s="95">
        <f t="shared" si="755"/>
        <v>0.15069444444088731</v>
      </c>
      <c r="BK1232" s="95">
        <f t="shared" si="756"/>
        <v>0.15069444444088731</v>
      </c>
      <c r="BL1232" s="95">
        <f t="shared" si="757"/>
        <v>0.13124999999644288</v>
      </c>
      <c r="BM1232" s="95" t="str">
        <f t="shared" si="758"/>
        <v>00:00</v>
      </c>
      <c r="BN1232" s="110"/>
    </row>
    <row r="1233" spans="1:66" s="8" customFormat="1" ht="12.75" customHeight="1" x14ac:dyDescent="0.25">
      <c r="A1233" s="150">
        <v>1134</v>
      </c>
      <c r="B1233" s="150">
        <v>68</v>
      </c>
      <c r="C1233" s="90">
        <v>9</v>
      </c>
      <c r="D1233" s="111" t="s">
        <v>148</v>
      </c>
      <c r="E1233" s="210" t="s">
        <v>1152</v>
      </c>
      <c r="F1233" s="150" t="s">
        <v>19</v>
      </c>
      <c r="G1233" s="150" t="s">
        <v>17</v>
      </c>
      <c r="H1233" s="150" t="s">
        <v>150</v>
      </c>
      <c r="I1233" s="150" t="s">
        <v>1165</v>
      </c>
      <c r="J1233" s="151">
        <v>45736</v>
      </c>
      <c r="K1233" s="135" t="s">
        <v>117</v>
      </c>
      <c r="L1233" s="135">
        <v>461000837</v>
      </c>
      <c r="M1233" s="151">
        <v>45737</v>
      </c>
      <c r="N1233" s="152">
        <v>45737.666666666664</v>
      </c>
      <c r="O1233" s="152">
        <v>45737.666666666664</v>
      </c>
      <c r="P1233" s="152">
        <v>45737.670138888891</v>
      </c>
      <c r="Q1233" s="152">
        <v>45737.833333333336</v>
      </c>
      <c r="R1233" s="152" t="s">
        <v>118</v>
      </c>
      <c r="S1233" s="152" t="s">
        <v>118</v>
      </c>
      <c r="T1233" s="152">
        <v>45737.895833333336</v>
      </c>
      <c r="U1233" s="152">
        <v>45737.972916666666</v>
      </c>
      <c r="V1233" s="219">
        <f t="shared" si="750"/>
        <v>0.16666666667151731</v>
      </c>
      <c r="W1233" s="203">
        <v>0.20833333333333334</v>
      </c>
      <c r="X1233" s="219" t="str">
        <f t="shared" si="751"/>
        <v>00:00</v>
      </c>
      <c r="Y1233" s="96">
        <v>0</v>
      </c>
      <c r="Z1233" s="96">
        <v>59</v>
      </c>
      <c r="AA1233" s="96">
        <f t="shared" ref="AA1233:AA1274" si="759">+Y1233+Z1233</f>
        <v>59</v>
      </c>
      <c r="AB1233" s="97">
        <f t="shared" si="713"/>
        <v>0</v>
      </c>
      <c r="AC1233" s="97">
        <f t="shared" si="714"/>
        <v>4111.3599999999997</v>
      </c>
      <c r="AD1233" s="98">
        <v>4111.3599999999997</v>
      </c>
      <c r="AE1233" s="98">
        <v>4105.7</v>
      </c>
      <c r="AF1233" s="98">
        <v>4114.2</v>
      </c>
      <c r="AG1233" s="98">
        <f t="shared" si="715"/>
        <v>2.8400000000001455</v>
      </c>
      <c r="AH1233" s="99">
        <v>672.5</v>
      </c>
      <c r="AI1233" s="100">
        <f t="shared" si="716"/>
        <v>2766799.5</v>
      </c>
      <c r="AJ1233" s="100">
        <f>(14.4*AH1233)*3</f>
        <v>29052</v>
      </c>
      <c r="AK1233" s="100">
        <v>0</v>
      </c>
      <c r="AL1233" s="100">
        <v>0</v>
      </c>
      <c r="AM1233" s="100">
        <v>0</v>
      </c>
      <c r="AN1233" s="100">
        <v>0</v>
      </c>
      <c r="AO1233" s="100">
        <v>0</v>
      </c>
      <c r="AP1233" s="100">
        <f t="shared" si="749"/>
        <v>139793</v>
      </c>
      <c r="AQ1233" s="101">
        <f t="shared" si="748"/>
        <v>2935645</v>
      </c>
      <c r="AR1233" s="101">
        <v>0</v>
      </c>
      <c r="AS1233" s="101">
        <v>0</v>
      </c>
      <c r="AT1233" s="102" t="s">
        <v>33</v>
      </c>
      <c r="AU1233" s="109" t="s">
        <v>118</v>
      </c>
      <c r="AV1233" s="100">
        <v>0</v>
      </c>
      <c r="AW1233" s="105">
        <v>0</v>
      </c>
      <c r="AX1233" s="216">
        <f t="shared" si="752"/>
        <v>6.9029215886445616E-2</v>
      </c>
      <c r="AY1233" s="217">
        <f t="shared" si="753"/>
        <v>1910</v>
      </c>
      <c r="AZ1233" s="107"/>
      <c r="BA1233" s="94">
        <v>45737.666666666664</v>
      </c>
      <c r="BB1233" s="94">
        <v>45737.670138888891</v>
      </c>
      <c r="BC1233" s="94">
        <v>45737.6875</v>
      </c>
      <c r="BD1233" s="94">
        <v>45737.820138888892</v>
      </c>
      <c r="BE1233" s="95">
        <f t="shared" si="754"/>
        <v>0.15347222222771961</v>
      </c>
      <c r="BF1233" s="95">
        <v>0</v>
      </c>
      <c r="BG1233" s="95">
        <v>1.7361111111111112E-2</v>
      </c>
      <c r="BH1233" s="95">
        <f t="shared" si="755"/>
        <v>3.4722222262644209E-3</v>
      </c>
      <c r="BI1233" s="95">
        <f t="shared" si="755"/>
        <v>1.7361111109494232E-2</v>
      </c>
      <c r="BJ1233" s="95">
        <f t="shared" si="755"/>
        <v>0.13263888889196096</v>
      </c>
      <c r="BK1233" s="95">
        <f t="shared" si="756"/>
        <v>0.15000000000145519</v>
      </c>
      <c r="BL1233" s="95">
        <f t="shared" si="757"/>
        <v>0.13263888889034409</v>
      </c>
      <c r="BM1233" s="95" t="str">
        <f t="shared" si="758"/>
        <v>00:00</v>
      </c>
      <c r="BN1233" s="110"/>
    </row>
    <row r="1234" spans="1:66" s="8" customFormat="1" ht="12.75" customHeight="1" x14ac:dyDescent="0.25">
      <c r="A1234" s="150">
        <v>1135</v>
      </c>
      <c r="B1234" s="150">
        <v>69</v>
      </c>
      <c r="C1234" s="90">
        <v>10</v>
      </c>
      <c r="D1234" s="111" t="s">
        <v>148</v>
      </c>
      <c r="E1234" s="210" t="s">
        <v>1152</v>
      </c>
      <c r="F1234" s="150" t="s">
        <v>19</v>
      </c>
      <c r="G1234" s="150" t="s">
        <v>17</v>
      </c>
      <c r="H1234" s="150" t="s">
        <v>150</v>
      </c>
      <c r="I1234" s="150" t="s">
        <v>1166</v>
      </c>
      <c r="J1234" s="151">
        <v>45736</v>
      </c>
      <c r="K1234" s="135" t="s">
        <v>122</v>
      </c>
      <c r="L1234" s="135">
        <v>461000838</v>
      </c>
      <c r="M1234" s="151">
        <v>45738</v>
      </c>
      <c r="N1234" s="152">
        <v>45738.416666666664</v>
      </c>
      <c r="O1234" s="152">
        <v>45738.416666666664</v>
      </c>
      <c r="P1234" s="152">
        <v>45738.427083333336</v>
      </c>
      <c r="Q1234" s="152">
        <v>45738.604166666664</v>
      </c>
      <c r="R1234" s="152" t="s">
        <v>118</v>
      </c>
      <c r="S1234" s="152" t="s">
        <v>118</v>
      </c>
      <c r="T1234" s="152">
        <v>45738.625</v>
      </c>
      <c r="U1234" s="152">
        <v>45738.736111111109</v>
      </c>
      <c r="V1234" s="219">
        <f t="shared" si="750"/>
        <v>0.1875</v>
      </c>
      <c r="W1234" s="203">
        <v>0.20833333333333334</v>
      </c>
      <c r="X1234" s="219" t="str">
        <f t="shared" si="751"/>
        <v>00:00</v>
      </c>
      <c r="Y1234" s="96">
        <v>0</v>
      </c>
      <c r="Z1234" s="96">
        <v>57</v>
      </c>
      <c r="AA1234" s="96">
        <f t="shared" si="759"/>
        <v>57</v>
      </c>
      <c r="AB1234" s="97">
        <f t="shared" si="713"/>
        <v>0</v>
      </c>
      <c r="AC1234" s="97">
        <f t="shared" si="714"/>
        <v>3963</v>
      </c>
      <c r="AD1234" s="98">
        <v>3963</v>
      </c>
      <c r="AE1234" s="98">
        <v>3960.5</v>
      </c>
      <c r="AF1234" s="98">
        <v>3983.8</v>
      </c>
      <c r="AG1234" s="98">
        <f t="shared" si="715"/>
        <v>20.800000000000182</v>
      </c>
      <c r="AH1234" s="99">
        <v>672.5</v>
      </c>
      <c r="AI1234" s="100">
        <f t="shared" si="716"/>
        <v>2679105.5</v>
      </c>
      <c r="AJ1234" s="100">
        <f>(0*AH1234)*2</f>
        <v>0</v>
      </c>
      <c r="AK1234" s="100">
        <v>0</v>
      </c>
      <c r="AL1234" s="100">
        <v>23990</v>
      </c>
      <c r="AM1234" s="100">
        <v>0</v>
      </c>
      <c r="AN1234" s="100">
        <v>0</v>
      </c>
      <c r="AO1234" s="100">
        <v>0</v>
      </c>
      <c r="AP1234" s="100">
        <f t="shared" si="749"/>
        <v>135155</v>
      </c>
      <c r="AQ1234" s="101">
        <f t="shared" si="748"/>
        <v>2838251</v>
      </c>
      <c r="AR1234" s="101">
        <v>0</v>
      </c>
      <c r="AS1234" s="101">
        <v>0</v>
      </c>
      <c r="AT1234" s="102" t="s">
        <v>33</v>
      </c>
      <c r="AU1234" s="109">
        <v>15</v>
      </c>
      <c r="AV1234" s="100">
        <f>29.32-19.82</f>
        <v>9.5</v>
      </c>
      <c r="AW1234" s="105">
        <v>0</v>
      </c>
      <c r="AX1234" s="216">
        <f t="shared" si="752"/>
        <v>0.52211456398414025</v>
      </c>
      <c r="AY1234" s="217">
        <f t="shared" si="753"/>
        <v>13989</v>
      </c>
      <c r="AZ1234" s="107"/>
      <c r="BA1234" s="94">
        <v>45738.416666666664</v>
      </c>
      <c r="BB1234" s="94">
        <v>45738.427083333336</v>
      </c>
      <c r="BC1234" s="94">
        <v>45738.427083333336</v>
      </c>
      <c r="BD1234" s="94">
        <v>45738.5625</v>
      </c>
      <c r="BE1234" s="95">
        <f t="shared" si="754"/>
        <v>0.14583333333575865</v>
      </c>
      <c r="BF1234" s="95">
        <v>0</v>
      </c>
      <c r="BG1234" s="95">
        <v>4.1666666666666666E-3</v>
      </c>
      <c r="BH1234" s="95">
        <f t="shared" si="755"/>
        <v>1.0416666671517305E-2</v>
      </c>
      <c r="BI1234" s="95">
        <f t="shared" si="755"/>
        <v>0</v>
      </c>
      <c r="BJ1234" s="95">
        <f t="shared" si="755"/>
        <v>0.13541666666424135</v>
      </c>
      <c r="BK1234" s="95">
        <f t="shared" si="756"/>
        <v>0.13541666666424135</v>
      </c>
      <c r="BL1234" s="95">
        <f t="shared" si="757"/>
        <v>0.13124999999757467</v>
      </c>
      <c r="BM1234" s="95" t="str">
        <f t="shared" si="758"/>
        <v>00:00</v>
      </c>
      <c r="BN1234" s="110"/>
    </row>
    <row r="1235" spans="1:66" s="8" customFormat="1" ht="12.75" customHeight="1" x14ac:dyDescent="0.25">
      <c r="A1235" s="150">
        <v>1136</v>
      </c>
      <c r="B1235" s="150">
        <v>70</v>
      </c>
      <c r="C1235" s="90">
        <v>11</v>
      </c>
      <c r="D1235" s="111" t="s">
        <v>148</v>
      </c>
      <c r="E1235" s="210" t="s">
        <v>1152</v>
      </c>
      <c r="F1235" s="150" t="s">
        <v>19</v>
      </c>
      <c r="G1235" s="150" t="s">
        <v>17</v>
      </c>
      <c r="H1235" s="150" t="s">
        <v>150</v>
      </c>
      <c r="I1235" s="150" t="s">
        <v>1167</v>
      </c>
      <c r="J1235" s="151">
        <v>45736</v>
      </c>
      <c r="K1235" s="135" t="s">
        <v>117</v>
      </c>
      <c r="L1235" s="135">
        <v>461000839</v>
      </c>
      <c r="M1235" s="151">
        <v>45738</v>
      </c>
      <c r="N1235" s="152">
        <v>45738.614583333336</v>
      </c>
      <c r="O1235" s="152">
        <v>45738.614583333336</v>
      </c>
      <c r="P1235" s="152">
        <v>45738.621527777781</v>
      </c>
      <c r="Q1235" s="152">
        <v>45738.791666666664</v>
      </c>
      <c r="R1235" s="152" t="s">
        <v>118</v>
      </c>
      <c r="S1235" s="152" t="s">
        <v>118</v>
      </c>
      <c r="T1235" s="152">
        <v>45738.8125</v>
      </c>
      <c r="U1235" s="152">
        <v>45738.931250000001</v>
      </c>
      <c r="V1235" s="219">
        <f t="shared" si="750"/>
        <v>0.17708333332848269</v>
      </c>
      <c r="W1235" s="203">
        <v>0.20833333333333334</v>
      </c>
      <c r="X1235" s="219" t="str">
        <f t="shared" si="751"/>
        <v>00:00</v>
      </c>
      <c r="Y1235" s="96">
        <v>0</v>
      </c>
      <c r="Z1235" s="96">
        <v>59</v>
      </c>
      <c r="AA1235" s="96">
        <f t="shared" si="759"/>
        <v>59</v>
      </c>
      <c r="AB1235" s="97">
        <f t="shared" si="713"/>
        <v>0</v>
      </c>
      <c r="AC1235" s="97">
        <f t="shared" si="714"/>
        <v>4079.5700000000006</v>
      </c>
      <c r="AD1235" s="98">
        <v>4079.57</v>
      </c>
      <c r="AE1235" s="98">
        <v>4103.8</v>
      </c>
      <c r="AF1235" s="98">
        <v>4113.2</v>
      </c>
      <c r="AG1235" s="98">
        <f t="shared" si="715"/>
        <v>33.629999999999654</v>
      </c>
      <c r="AH1235" s="99">
        <v>672.5</v>
      </c>
      <c r="AI1235" s="100">
        <f t="shared" si="716"/>
        <v>2766127</v>
      </c>
      <c r="AJ1235" s="100">
        <f>(1.2*AH1235)*2</f>
        <v>1614</v>
      </c>
      <c r="AK1235" s="100">
        <v>0</v>
      </c>
      <c r="AL1235" s="100">
        <v>0</v>
      </c>
      <c r="AM1235" s="100">
        <v>0</v>
      </c>
      <c r="AN1235" s="100">
        <v>0</v>
      </c>
      <c r="AO1235" s="100">
        <v>0</v>
      </c>
      <c r="AP1235" s="100">
        <f t="shared" si="749"/>
        <v>138388</v>
      </c>
      <c r="AQ1235" s="101">
        <f t="shared" si="748"/>
        <v>2906129</v>
      </c>
      <c r="AR1235" s="101">
        <v>0</v>
      </c>
      <c r="AS1235" s="101">
        <v>0</v>
      </c>
      <c r="AT1235" s="102" t="s">
        <v>33</v>
      </c>
      <c r="AU1235" s="109" t="s">
        <v>118</v>
      </c>
      <c r="AV1235" s="100">
        <v>0</v>
      </c>
      <c r="AW1235" s="105">
        <v>0</v>
      </c>
      <c r="AX1235" s="216">
        <f t="shared" si="752"/>
        <v>0.81761159194786681</v>
      </c>
      <c r="AY1235" s="217">
        <f t="shared" si="753"/>
        <v>22617</v>
      </c>
      <c r="AZ1235" s="107"/>
      <c r="BA1235" s="94">
        <v>45738.614583333336</v>
      </c>
      <c r="BB1235" s="94">
        <v>45738.621527777781</v>
      </c>
      <c r="BC1235" s="94">
        <v>45738.621527777781</v>
      </c>
      <c r="BD1235" s="94">
        <v>45738.740972222222</v>
      </c>
      <c r="BE1235" s="95">
        <f t="shared" si="754"/>
        <v>0.12638888888614019</v>
      </c>
      <c r="BF1235" s="95">
        <v>0</v>
      </c>
      <c r="BG1235" s="95">
        <v>0</v>
      </c>
      <c r="BH1235" s="95">
        <f t="shared" si="755"/>
        <v>6.9444444452528842E-3</v>
      </c>
      <c r="BI1235" s="95">
        <f t="shared" si="755"/>
        <v>0</v>
      </c>
      <c r="BJ1235" s="95">
        <f t="shared" si="755"/>
        <v>0.11944444444088731</v>
      </c>
      <c r="BK1235" s="95">
        <f t="shared" si="756"/>
        <v>0.11944444444088731</v>
      </c>
      <c r="BL1235" s="95">
        <f t="shared" si="757"/>
        <v>0.11944444444088731</v>
      </c>
      <c r="BM1235" s="95" t="str">
        <f t="shared" si="758"/>
        <v>00:00</v>
      </c>
      <c r="BN1235" s="110"/>
    </row>
    <row r="1236" spans="1:66" s="8" customFormat="1" ht="12.75" customHeight="1" x14ac:dyDescent="0.25">
      <c r="A1236" s="150">
        <v>1137</v>
      </c>
      <c r="B1236" s="150">
        <v>71</v>
      </c>
      <c r="C1236" s="90">
        <v>12</v>
      </c>
      <c r="D1236" s="111" t="s">
        <v>148</v>
      </c>
      <c r="E1236" s="210" t="s">
        <v>1152</v>
      </c>
      <c r="F1236" s="150" t="s">
        <v>19</v>
      </c>
      <c r="G1236" s="150" t="s">
        <v>17</v>
      </c>
      <c r="H1236" s="150" t="s">
        <v>150</v>
      </c>
      <c r="I1236" s="150" t="s">
        <v>1168</v>
      </c>
      <c r="J1236" s="151">
        <v>45737</v>
      </c>
      <c r="K1236" s="135" t="s">
        <v>122</v>
      </c>
      <c r="L1236" s="135">
        <v>461000840</v>
      </c>
      <c r="M1236" s="151">
        <v>45739</v>
      </c>
      <c r="N1236" s="152">
        <v>45739.197916666664</v>
      </c>
      <c r="O1236" s="152">
        <v>45739.197916666664</v>
      </c>
      <c r="P1236" s="152">
        <v>45739.208333333336</v>
      </c>
      <c r="Q1236" s="152">
        <v>45739.375</v>
      </c>
      <c r="R1236" s="152" t="s">
        <v>118</v>
      </c>
      <c r="S1236" s="152" t="s">
        <v>118</v>
      </c>
      <c r="T1236" s="152">
        <v>45739.395833333336</v>
      </c>
      <c r="U1236" s="152">
        <v>45739.472222222219</v>
      </c>
      <c r="V1236" s="219">
        <f t="shared" si="750"/>
        <v>0.17708333333575865</v>
      </c>
      <c r="W1236" s="203">
        <v>0.20833333333333334</v>
      </c>
      <c r="X1236" s="219" t="str">
        <f t="shared" si="751"/>
        <v>00:00</v>
      </c>
      <c r="Y1236" s="96">
        <v>0</v>
      </c>
      <c r="Z1236" s="96">
        <v>58</v>
      </c>
      <c r="AA1236" s="96">
        <f t="shared" si="759"/>
        <v>58</v>
      </c>
      <c r="AB1236" s="97">
        <f t="shared" si="713"/>
        <v>0</v>
      </c>
      <c r="AC1236" s="97">
        <f t="shared" si="714"/>
        <v>4025.04</v>
      </c>
      <c r="AD1236" s="98">
        <v>4025.04</v>
      </c>
      <c r="AE1236" s="98">
        <v>4026.6</v>
      </c>
      <c r="AF1236" s="98">
        <v>4051</v>
      </c>
      <c r="AG1236" s="98">
        <f t="shared" si="715"/>
        <v>25.960000000000036</v>
      </c>
      <c r="AH1236" s="99">
        <v>672.5</v>
      </c>
      <c r="AI1236" s="100">
        <f t="shared" si="716"/>
        <v>2724297.5</v>
      </c>
      <c r="AJ1236" s="100">
        <f>(0*AH1236)*2</f>
        <v>0</v>
      </c>
      <c r="AK1236" s="100">
        <v>0</v>
      </c>
      <c r="AL1236" s="100">
        <v>24140</v>
      </c>
      <c r="AM1236" s="100">
        <v>0</v>
      </c>
      <c r="AN1236" s="100">
        <v>0</v>
      </c>
      <c r="AO1236" s="100">
        <v>0</v>
      </c>
      <c r="AP1236" s="100">
        <f t="shared" si="749"/>
        <v>137422</v>
      </c>
      <c r="AQ1236" s="101">
        <f t="shared" si="748"/>
        <v>2885860</v>
      </c>
      <c r="AR1236" s="101">
        <v>0</v>
      </c>
      <c r="AS1236" s="101">
        <v>0</v>
      </c>
      <c r="AT1236" s="102" t="s">
        <v>33</v>
      </c>
      <c r="AU1236" s="109">
        <v>13</v>
      </c>
      <c r="AV1236" s="100">
        <f>33.53-22.03</f>
        <v>11.5</v>
      </c>
      <c r="AW1236" s="105">
        <v>0</v>
      </c>
      <c r="AX1236" s="216">
        <f t="shared" si="752"/>
        <v>0.64082942483337535</v>
      </c>
      <c r="AY1236" s="217">
        <f t="shared" si="753"/>
        <v>17459</v>
      </c>
      <c r="AZ1236" s="107"/>
      <c r="BA1236" s="94">
        <v>45739.197916666664</v>
      </c>
      <c r="BB1236" s="94">
        <v>45739.208333333336</v>
      </c>
      <c r="BC1236" s="94">
        <v>45739.208333333336</v>
      </c>
      <c r="BD1236" s="94">
        <v>45739.357638888891</v>
      </c>
      <c r="BE1236" s="95">
        <f t="shared" si="754"/>
        <v>0.15972222222626442</v>
      </c>
      <c r="BF1236" s="95">
        <v>0</v>
      </c>
      <c r="BG1236" s="95">
        <v>0</v>
      </c>
      <c r="BH1236" s="95">
        <f t="shared" si="755"/>
        <v>1.0416666671517305E-2</v>
      </c>
      <c r="BI1236" s="95">
        <f t="shared" si="755"/>
        <v>0</v>
      </c>
      <c r="BJ1236" s="95">
        <f t="shared" si="755"/>
        <v>0.14930555555474712</v>
      </c>
      <c r="BK1236" s="95">
        <f t="shared" si="756"/>
        <v>0.14930555555474712</v>
      </c>
      <c r="BL1236" s="95">
        <f t="shared" si="757"/>
        <v>0.14930555555474712</v>
      </c>
      <c r="BM1236" s="95" t="str">
        <f t="shared" si="758"/>
        <v>00:00</v>
      </c>
      <c r="BN1236" s="110"/>
    </row>
    <row r="1237" spans="1:66" s="8" customFormat="1" ht="12.75" customHeight="1" x14ac:dyDescent="0.25">
      <c r="A1237" s="150">
        <v>1138</v>
      </c>
      <c r="B1237" s="150">
        <v>72</v>
      </c>
      <c r="C1237" s="90">
        <v>1</v>
      </c>
      <c r="D1237" s="111" t="s">
        <v>113</v>
      </c>
      <c r="E1237" s="210" t="s">
        <v>1169</v>
      </c>
      <c r="F1237" s="150" t="s">
        <v>38</v>
      </c>
      <c r="G1237" s="150" t="s">
        <v>15</v>
      </c>
      <c r="H1237" s="150" t="s">
        <v>1170</v>
      </c>
      <c r="I1237" s="150" t="s">
        <v>1171</v>
      </c>
      <c r="J1237" s="151">
        <v>45739</v>
      </c>
      <c r="K1237" s="135" t="s">
        <v>117</v>
      </c>
      <c r="L1237" s="135">
        <v>281000290</v>
      </c>
      <c r="M1237" s="151">
        <v>45740</v>
      </c>
      <c r="N1237" s="152">
        <v>45739.381944444445</v>
      </c>
      <c r="O1237" s="152">
        <v>45739.381944444445</v>
      </c>
      <c r="P1237" s="152">
        <v>45739.388888888891</v>
      </c>
      <c r="Q1237" s="152">
        <v>45739.583333333336</v>
      </c>
      <c r="R1237" s="152" t="s">
        <v>118</v>
      </c>
      <c r="S1237" s="152" t="s">
        <v>118</v>
      </c>
      <c r="T1237" s="152">
        <v>45739.625</v>
      </c>
      <c r="U1237" s="152">
        <v>45739.86041666667</v>
      </c>
      <c r="V1237" s="219">
        <f t="shared" si="750"/>
        <v>0.20138888889050577</v>
      </c>
      <c r="W1237" s="203">
        <v>0.20833333333333334</v>
      </c>
      <c r="X1237" s="219" t="str">
        <f t="shared" si="751"/>
        <v>00:00</v>
      </c>
      <c r="Y1237" s="96">
        <v>2</v>
      </c>
      <c r="Z1237" s="96">
        <v>57</v>
      </c>
      <c r="AA1237" s="96">
        <f t="shared" si="759"/>
        <v>59</v>
      </c>
      <c r="AB1237" s="97">
        <f t="shared" si="713"/>
        <v>135.42779661016948</v>
      </c>
      <c r="AC1237" s="97">
        <f t="shared" si="714"/>
        <v>3859.69220338983</v>
      </c>
      <c r="AD1237" s="98">
        <v>3995.12</v>
      </c>
      <c r="AE1237" s="98">
        <v>4098.1000000000004</v>
      </c>
      <c r="AF1237" s="98">
        <v>4100.3999999999996</v>
      </c>
      <c r="AG1237" s="98">
        <f t="shared" si="715"/>
        <v>105.27999999999975</v>
      </c>
      <c r="AH1237" s="99">
        <v>926</v>
      </c>
      <c r="AI1237" s="100">
        <f t="shared" si="716"/>
        <v>3796970.3999999994</v>
      </c>
      <c r="AJ1237" s="100">
        <f>(0.4*AH1237)*2</f>
        <v>740.80000000000007</v>
      </c>
      <c r="AK1237" s="100">
        <f>(7.4*AH1237)*2.5</f>
        <v>17131</v>
      </c>
      <c r="AL1237" s="100">
        <v>0</v>
      </c>
      <c r="AM1237" s="100">
        <v>0</v>
      </c>
      <c r="AN1237" s="100">
        <v>0</v>
      </c>
      <c r="AO1237" s="100">
        <v>0</v>
      </c>
      <c r="AP1237" s="100">
        <f t="shared" si="749"/>
        <v>190743</v>
      </c>
      <c r="AQ1237" s="101">
        <f t="shared" si="748"/>
        <v>4005586</v>
      </c>
      <c r="AR1237" s="101">
        <v>0</v>
      </c>
      <c r="AS1237" s="101">
        <v>0</v>
      </c>
      <c r="AT1237" s="102" t="s">
        <v>33</v>
      </c>
      <c r="AU1237" s="109" t="s">
        <v>118</v>
      </c>
      <c r="AV1237" s="100">
        <v>0</v>
      </c>
      <c r="AW1237" s="105">
        <v>0</v>
      </c>
      <c r="AX1237" s="216">
        <f t="shared" si="752"/>
        <v>2.5675543849380489</v>
      </c>
      <c r="AY1237" s="217">
        <f t="shared" si="753"/>
        <v>97490</v>
      </c>
      <c r="AZ1237" s="107"/>
      <c r="BA1237" s="94">
        <v>45739.381944444445</v>
      </c>
      <c r="BB1237" s="94">
        <v>45739.388888888891</v>
      </c>
      <c r="BC1237" s="94">
        <v>45739.399305555555</v>
      </c>
      <c r="BD1237" s="94">
        <v>45739.548611111109</v>
      </c>
      <c r="BE1237" s="95">
        <f t="shared" si="754"/>
        <v>0.16666666666424135</v>
      </c>
      <c r="BF1237" s="95">
        <v>1.3888888888888888E-2</v>
      </c>
      <c r="BG1237" s="95">
        <v>3.8194444444444448E-2</v>
      </c>
      <c r="BH1237" s="95">
        <f t="shared" si="755"/>
        <v>6.9444444452528842E-3</v>
      </c>
      <c r="BI1237" s="95">
        <f t="shared" si="755"/>
        <v>1.0416666664241347E-2</v>
      </c>
      <c r="BJ1237" s="95">
        <f t="shared" si="755"/>
        <v>0.14930555555474712</v>
      </c>
      <c r="BK1237" s="95">
        <f t="shared" si="756"/>
        <v>0.15972222221898846</v>
      </c>
      <c r="BL1237" s="95">
        <f t="shared" si="757"/>
        <v>0.10763888888565512</v>
      </c>
      <c r="BM1237" s="95" t="str">
        <f t="shared" si="758"/>
        <v>00:00</v>
      </c>
      <c r="BN1237" s="110"/>
    </row>
    <row r="1238" spans="1:66" s="8" customFormat="1" ht="12.75" customHeight="1" x14ac:dyDescent="0.25">
      <c r="A1238" s="150">
        <v>1139</v>
      </c>
      <c r="B1238" s="150">
        <v>73</v>
      </c>
      <c r="C1238" s="90">
        <v>13</v>
      </c>
      <c r="D1238" s="111" t="s">
        <v>148</v>
      </c>
      <c r="E1238" s="210" t="s">
        <v>1152</v>
      </c>
      <c r="F1238" s="150" t="s">
        <v>19</v>
      </c>
      <c r="G1238" s="150" t="s">
        <v>17</v>
      </c>
      <c r="H1238" s="150" t="s">
        <v>150</v>
      </c>
      <c r="I1238" s="150" t="s">
        <v>1172</v>
      </c>
      <c r="J1238" s="151">
        <v>45737</v>
      </c>
      <c r="K1238" s="135" t="s">
        <v>122</v>
      </c>
      <c r="L1238" s="135">
        <v>461000841</v>
      </c>
      <c r="M1238" s="151">
        <v>45740</v>
      </c>
      <c r="N1238" s="152">
        <v>45739.75</v>
      </c>
      <c r="O1238" s="152">
        <v>45739.75</v>
      </c>
      <c r="P1238" s="152">
        <v>45739.756944444445</v>
      </c>
      <c r="Q1238" s="152">
        <v>45739.9375</v>
      </c>
      <c r="R1238" s="152" t="s">
        <v>118</v>
      </c>
      <c r="S1238" s="152" t="s">
        <v>118</v>
      </c>
      <c r="T1238" s="152">
        <v>45740.083333333336</v>
      </c>
      <c r="U1238" s="152">
        <v>45740.208333333336</v>
      </c>
      <c r="V1238" s="219">
        <f t="shared" si="750"/>
        <v>0.1875</v>
      </c>
      <c r="W1238" s="203">
        <v>0.20833333333333334</v>
      </c>
      <c r="X1238" s="219" t="str">
        <f t="shared" si="751"/>
        <v>00:00</v>
      </c>
      <c r="Y1238" s="96">
        <v>0</v>
      </c>
      <c r="Z1238" s="96">
        <v>58</v>
      </c>
      <c r="AA1238" s="96">
        <f t="shared" si="759"/>
        <v>58</v>
      </c>
      <c r="AB1238" s="97">
        <f t="shared" si="713"/>
        <v>0</v>
      </c>
      <c r="AC1238" s="97">
        <f t="shared" si="714"/>
        <v>4054.4499999999994</v>
      </c>
      <c r="AD1238" s="98">
        <v>4054.45</v>
      </c>
      <c r="AE1238" s="98">
        <v>4048.2</v>
      </c>
      <c r="AF1238" s="98">
        <v>4073.4</v>
      </c>
      <c r="AG1238" s="98">
        <f t="shared" si="715"/>
        <v>18.950000000000273</v>
      </c>
      <c r="AH1238" s="99">
        <v>672.5</v>
      </c>
      <c r="AI1238" s="100">
        <f t="shared" si="716"/>
        <v>2739361.5</v>
      </c>
      <c r="AJ1238" s="100">
        <f t="shared" ref="AJ1238:AJ1243" si="760">(0*AH1238)*2</f>
        <v>0</v>
      </c>
      <c r="AK1238" s="100">
        <v>0</v>
      </c>
      <c r="AL1238" s="100">
        <v>24140</v>
      </c>
      <c r="AM1238" s="100">
        <v>0</v>
      </c>
      <c r="AN1238" s="100">
        <v>0</v>
      </c>
      <c r="AO1238" s="100">
        <v>0</v>
      </c>
      <c r="AP1238" s="100">
        <f t="shared" si="749"/>
        <v>138176</v>
      </c>
      <c r="AQ1238" s="101">
        <f t="shared" si="748"/>
        <v>2901678</v>
      </c>
      <c r="AR1238" s="101">
        <v>0</v>
      </c>
      <c r="AS1238" s="101">
        <v>0</v>
      </c>
      <c r="AT1238" s="102" t="s">
        <v>33</v>
      </c>
      <c r="AU1238" s="109">
        <v>12</v>
      </c>
      <c r="AV1238" s="100">
        <f>29.75-23.25</f>
        <v>6.5</v>
      </c>
      <c r="AW1238" s="105">
        <v>0</v>
      </c>
      <c r="AX1238" s="216">
        <f t="shared" si="752"/>
        <v>0.4652133352973013</v>
      </c>
      <c r="AY1238" s="217">
        <f t="shared" si="753"/>
        <v>12744</v>
      </c>
      <c r="AZ1238" s="107"/>
      <c r="BA1238" s="94">
        <v>45739.75</v>
      </c>
      <c r="BB1238" s="94">
        <v>45739.756944444445</v>
      </c>
      <c r="BC1238" s="94">
        <v>45739.756944444445</v>
      </c>
      <c r="BD1238" s="94">
        <v>45739.904861111114</v>
      </c>
      <c r="BE1238" s="95">
        <f t="shared" si="754"/>
        <v>0.15486111111385981</v>
      </c>
      <c r="BF1238" s="95">
        <v>9.0277777777777769E-3</v>
      </c>
      <c r="BG1238" s="95">
        <v>1.3888888888888889E-3</v>
      </c>
      <c r="BH1238" s="95">
        <f t="shared" si="755"/>
        <v>6.9444444452528842E-3</v>
      </c>
      <c r="BI1238" s="95">
        <f t="shared" si="755"/>
        <v>0</v>
      </c>
      <c r="BJ1238" s="95">
        <f t="shared" si="755"/>
        <v>0.14791666666860692</v>
      </c>
      <c r="BK1238" s="95">
        <f t="shared" si="756"/>
        <v>0.14791666666860692</v>
      </c>
      <c r="BL1238" s="95">
        <f t="shared" si="757"/>
        <v>0.13750000000194026</v>
      </c>
      <c r="BM1238" s="95" t="str">
        <f t="shared" si="758"/>
        <v>00:00</v>
      </c>
      <c r="BN1238" s="110"/>
    </row>
    <row r="1239" spans="1:66" s="8" customFormat="1" ht="12.75" customHeight="1" x14ac:dyDescent="0.25">
      <c r="A1239" s="150">
        <v>1140</v>
      </c>
      <c r="B1239" s="150">
        <v>74</v>
      </c>
      <c r="C1239" s="90">
        <v>14</v>
      </c>
      <c r="D1239" s="111" t="s">
        <v>148</v>
      </c>
      <c r="E1239" s="210" t="s">
        <v>1152</v>
      </c>
      <c r="F1239" s="150" t="s">
        <v>19</v>
      </c>
      <c r="G1239" s="150" t="s">
        <v>17</v>
      </c>
      <c r="H1239" s="150" t="s">
        <v>150</v>
      </c>
      <c r="I1239" s="150" t="s">
        <v>1173</v>
      </c>
      <c r="J1239" s="151">
        <v>45737</v>
      </c>
      <c r="K1239" s="135" t="s">
        <v>117</v>
      </c>
      <c r="L1239" s="135">
        <v>461000842</v>
      </c>
      <c r="M1239" s="151">
        <v>45740</v>
      </c>
      <c r="N1239" s="152">
        <v>45740.114583333336</v>
      </c>
      <c r="O1239" s="152">
        <v>45740.114583333336</v>
      </c>
      <c r="P1239" s="152">
        <v>45740.121527777781</v>
      </c>
      <c r="Q1239" s="152">
        <v>45740.3125</v>
      </c>
      <c r="R1239" s="152" t="s">
        <v>118</v>
      </c>
      <c r="S1239" s="152" t="s">
        <v>118</v>
      </c>
      <c r="T1239" s="152">
        <v>45740.354166666664</v>
      </c>
      <c r="U1239" s="152">
        <v>45740.510416666664</v>
      </c>
      <c r="V1239" s="219">
        <f t="shared" si="750"/>
        <v>0.19791666666424135</v>
      </c>
      <c r="W1239" s="203">
        <v>0.20833333333333334</v>
      </c>
      <c r="X1239" s="219" t="str">
        <f t="shared" si="751"/>
        <v>00:00</v>
      </c>
      <c r="Y1239" s="96">
        <v>0</v>
      </c>
      <c r="Z1239" s="96">
        <v>57</v>
      </c>
      <c r="AA1239" s="96">
        <f t="shared" si="759"/>
        <v>57</v>
      </c>
      <c r="AB1239" s="97">
        <f t="shared" si="713"/>
        <v>0</v>
      </c>
      <c r="AC1239" s="97">
        <f t="shared" si="714"/>
        <v>3970.4699999999993</v>
      </c>
      <c r="AD1239" s="98">
        <v>3970.47</v>
      </c>
      <c r="AE1239" s="98">
        <v>3979.7</v>
      </c>
      <c r="AF1239" s="98">
        <v>3998.2</v>
      </c>
      <c r="AG1239" s="98">
        <f t="shared" si="715"/>
        <v>27.730000000000018</v>
      </c>
      <c r="AH1239" s="99">
        <v>672.5</v>
      </c>
      <c r="AI1239" s="100">
        <f t="shared" si="716"/>
        <v>2688789.5</v>
      </c>
      <c r="AJ1239" s="100">
        <f t="shared" si="760"/>
        <v>0</v>
      </c>
      <c r="AK1239" s="100">
        <v>0</v>
      </c>
      <c r="AL1239" s="100">
        <v>23990</v>
      </c>
      <c r="AM1239" s="100">
        <v>0</v>
      </c>
      <c r="AN1239" s="100">
        <v>0</v>
      </c>
      <c r="AO1239" s="100">
        <v>0</v>
      </c>
      <c r="AP1239" s="100">
        <f t="shared" si="749"/>
        <v>135639</v>
      </c>
      <c r="AQ1239" s="101">
        <f t="shared" si="748"/>
        <v>2848419</v>
      </c>
      <c r="AR1239" s="101">
        <v>0</v>
      </c>
      <c r="AS1239" s="101">
        <v>0</v>
      </c>
      <c r="AT1239" s="102" t="s">
        <v>34</v>
      </c>
      <c r="AU1239" s="109">
        <v>7</v>
      </c>
      <c r="AV1239" s="100">
        <f>20.67-16.67</f>
        <v>4</v>
      </c>
      <c r="AW1239" s="105">
        <v>0</v>
      </c>
      <c r="AX1239" s="216">
        <f t="shared" si="752"/>
        <v>0.69356210294632636</v>
      </c>
      <c r="AY1239" s="217">
        <f t="shared" si="753"/>
        <v>18649</v>
      </c>
      <c r="AZ1239" s="107"/>
      <c r="BA1239" s="94">
        <v>45740.114583333336</v>
      </c>
      <c r="BB1239" s="94">
        <v>45740.121527777781</v>
      </c>
      <c r="BC1239" s="94">
        <v>45740.121527777781</v>
      </c>
      <c r="BD1239" s="94">
        <v>45740.246527777781</v>
      </c>
      <c r="BE1239" s="95">
        <f t="shared" si="754"/>
        <v>0.13194444444525288</v>
      </c>
      <c r="BF1239" s="95">
        <v>0</v>
      </c>
      <c r="BG1239" s="95">
        <v>2.0833333333333333E-3</v>
      </c>
      <c r="BH1239" s="95">
        <f t="shared" si="755"/>
        <v>6.9444444452528842E-3</v>
      </c>
      <c r="BI1239" s="95">
        <f t="shared" si="755"/>
        <v>0</v>
      </c>
      <c r="BJ1239" s="95">
        <f t="shared" si="755"/>
        <v>0.125</v>
      </c>
      <c r="BK1239" s="95">
        <f t="shared" si="756"/>
        <v>0.125</v>
      </c>
      <c r="BL1239" s="95">
        <f t="shared" si="757"/>
        <v>0.12291666666666666</v>
      </c>
      <c r="BM1239" s="95" t="str">
        <f t="shared" si="758"/>
        <v>00:00</v>
      </c>
      <c r="BN1239" s="110"/>
    </row>
    <row r="1240" spans="1:66" s="8" customFormat="1" ht="12.75" customHeight="1" x14ac:dyDescent="0.25">
      <c r="A1240" s="150">
        <v>1141</v>
      </c>
      <c r="B1240" s="150">
        <v>75</v>
      </c>
      <c r="C1240" s="90">
        <v>15</v>
      </c>
      <c r="D1240" s="111" t="s">
        <v>148</v>
      </c>
      <c r="E1240" s="210" t="s">
        <v>1152</v>
      </c>
      <c r="F1240" s="150" t="s">
        <v>19</v>
      </c>
      <c r="G1240" s="150" t="s">
        <v>17</v>
      </c>
      <c r="H1240" s="150" t="s">
        <v>150</v>
      </c>
      <c r="I1240" s="150" t="s">
        <v>1174</v>
      </c>
      <c r="J1240" s="151">
        <v>45738</v>
      </c>
      <c r="K1240" s="135" t="s">
        <v>122</v>
      </c>
      <c r="L1240" s="135">
        <v>461000843</v>
      </c>
      <c r="M1240" s="151">
        <v>45740</v>
      </c>
      <c r="N1240" s="152">
        <v>45740.427083333336</v>
      </c>
      <c r="O1240" s="152">
        <v>45740.427083333336</v>
      </c>
      <c r="P1240" s="152">
        <v>45740.440972222219</v>
      </c>
      <c r="Q1240" s="152">
        <v>45740.635416666664</v>
      </c>
      <c r="R1240" s="152" t="s">
        <v>118</v>
      </c>
      <c r="S1240" s="152" t="s">
        <v>118</v>
      </c>
      <c r="T1240" s="152">
        <v>45740.645833333336</v>
      </c>
      <c r="U1240" s="152">
        <v>45740.763888888891</v>
      </c>
      <c r="V1240" s="219">
        <f t="shared" si="750"/>
        <v>0.20833333332848269</v>
      </c>
      <c r="W1240" s="203">
        <v>0.20833333333333334</v>
      </c>
      <c r="X1240" s="219" t="str">
        <f t="shared" si="751"/>
        <v>00:00</v>
      </c>
      <c r="Y1240" s="96">
        <v>0</v>
      </c>
      <c r="Z1240" s="96">
        <v>57</v>
      </c>
      <c r="AA1240" s="96">
        <f t="shared" si="759"/>
        <v>57</v>
      </c>
      <c r="AB1240" s="97">
        <f t="shared" si="713"/>
        <v>0</v>
      </c>
      <c r="AC1240" s="97">
        <f t="shared" si="714"/>
        <v>3939.64</v>
      </c>
      <c r="AD1240" s="98">
        <v>3939.64</v>
      </c>
      <c r="AE1240" s="98">
        <v>3060.1</v>
      </c>
      <c r="AF1240" s="98">
        <v>3976.6</v>
      </c>
      <c r="AG1240" s="98">
        <f t="shared" si="715"/>
        <v>36.960000000000036</v>
      </c>
      <c r="AH1240" s="99">
        <v>672.5</v>
      </c>
      <c r="AI1240" s="100">
        <f t="shared" si="716"/>
        <v>2674263.5</v>
      </c>
      <c r="AJ1240" s="100">
        <f t="shared" si="760"/>
        <v>0</v>
      </c>
      <c r="AK1240" s="100">
        <v>0</v>
      </c>
      <c r="AL1240" s="100">
        <v>23990</v>
      </c>
      <c r="AM1240" s="100">
        <v>0</v>
      </c>
      <c r="AN1240" s="100">
        <v>0</v>
      </c>
      <c r="AO1240" s="100">
        <v>0</v>
      </c>
      <c r="AP1240" s="100">
        <f t="shared" si="749"/>
        <v>134913</v>
      </c>
      <c r="AQ1240" s="101">
        <f t="shared" si="748"/>
        <v>2833167</v>
      </c>
      <c r="AR1240" s="101">
        <v>0</v>
      </c>
      <c r="AS1240" s="101">
        <v>0</v>
      </c>
      <c r="AT1240" s="102" t="s">
        <v>34</v>
      </c>
      <c r="AU1240" s="109">
        <v>8</v>
      </c>
      <c r="AV1240" s="100">
        <f>19.25-14.75</f>
        <v>4.5</v>
      </c>
      <c r="AW1240" s="105">
        <v>0</v>
      </c>
      <c r="AX1240" s="216">
        <f t="shared" si="752"/>
        <v>0.92943720766484028</v>
      </c>
      <c r="AY1240" s="217">
        <f t="shared" si="753"/>
        <v>24856</v>
      </c>
      <c r="AZ1240" s="107"/>
      <c r="BA1240" s="94">
        <v>45740.427083333336</v>
      </c>
      <c r="BB1240" s="94">
        <v>45740.440972222219</v>
      </c>
      <c r="BC1240" s="94">
        <v>45740.447916666664</v>
      </c>
      <c r="BD1240" s="94">
        <v>45740.597222222219</v>
      </c>
      <c r="BE1240" s="95">
        <f t="shared" si="754"/>
        <v>0.17013888888322981</v>
      </c>
      <c r="BF1240" s="95">
        <v>0</v>
      </c>
      <c r="BG1240" s="95">
        <v>2.9166666666666667E-2</v>
      </c>
      <c r="BH1240" s="95">
        <f t="shared" si="755"/>
        <v>1.3888888883229811E-2</v>
      </c>
      <c r="BI1240" s="95">
        <f t="shared" si="755"/>
        <v>6.9444444452528842E-3</v>
      </c>
      <c r="BJ1240" s="95">
        <f t="shared" si="755"/>
        <v>0.14930555555474712</v>
      </c>
      <c r="BK1240" s="95">
        <f t="shared" si="756"/>
        <v>0.15625</v>
      </c>
      <c r="BL1240" s="95">
        <f t="shared" si="757"/>
        <v>0.12708333333333333</v>
      </c>
      <c r="BM1240" s="95" t="str">
        <f t="shared" si="758"/>
        <v>00:00</v>
      </c>
      <c r="BN1240" s="110"/>
    </row>
    <row r="1241" spans="1:66" s="8" customFormat="1" ht="12.75" customHeight="1" x14ac:dyDescent="0.25">
      <c r="A1241" s="150">
        <v>1142</v>
      </c>
      <c r="B1241" s="150">
        <v>76</v>
      </c>
      <c r="C1241" s="90">
        <v>2</v>
      </c>
      <c r="D1241" s="111" t="s">
        <v>113</v>
      </c>
      <c r="E1241" s="210" t="s">
        <v>1169</v>
      </c>
      <c r="F1241" s="150" t="s">
        <v>38</v>
      </c>
      <c r="G1241" s="150" t="s">
        <v>15</v>
      </c>
      <c r="H1241" s="150" t="s">
        <v>1175</v>
      </c>
      <c r="I1241" s="150" t="s">
        <v>1176</v>
      </c>
      <c r="J1241" s="151">
        <v>45740</v>
      </c>
      <c r="K1241" s="135" t="s">
        <v>117</v>
      </c>
      <c r="L1241" s="135">
        <v>281000291</v>
      </c>
      <c r="M1241" s="151">
        <v>45741</v>
      </c>
      <c r="N1241" s="152">
        <v>45740.631944444445</v>
      </c>
      <c r="O1241" s="152">
        <v>45740.631944444445</v>
      </c>
      <c r="P1241" s="152">
        <v>45740.638888888891</v>
      </c>
      <c r="Q1241" s="152">
        <v>45740.8125</v>
      </c>
      <c r="R1241" s="152" t="s">
        <v>118</v>
      </c>
      <c r="S1241" s="152" t="s">
        <v>118</v>
      </c>
      <c r="T1241" s="152">
        <v>45740.902777777781</v>
      </c>
      <c r="U1241" s="152">
        <v>45740.991666666669</v>
      </c>
      <c r="V1241" s="219">
        <f t="shared" si="750"/>
        <v>0.18055555555474712</v>
      </c>
      <c r="W1241" s="203">
        <v>0.20833333333333334</v>
      </c>
      <c r="X1241" s="219" t="str">
        <f t="shared" si="751"/>
        <v>00:00</v>
      </c>
      <c r="Y1241" s="96">
        <v>2</v>
      </c>
      <c r="Z1241" s="96">
        <v>56</v>
      </c>
      <c r="AA1241" s="96">
        <f t="shared" si="759"/>
        <v>58</v>
      </c>
      <c r="AB1241" s="97">
        <f t="shared" ref="AB1241:AB1274" si="761">+AD1241/AA1241*Y1241</f>
        <v>133.17551724137931</v>
      </c>
      <c r="AC1241" s="97">
        <f t="shared" ref="AC1241:AC1274" si="762">+AD1241/AA1241*Z1241</f>
        <v>3728.9144827586206</v>
      </c>
      <c r="AD1241" s="98">
        <v>3862.09</v>
      </c>
      <c r="AE1241" s="98">
        <v>4038.9</v>
      </c>
      <c r="AF1241" s="98">
        <v>4039</v>
      </c>
      <c r="AG1241" s="98">
        <f t="shared" ref="AG1241:AG1274" si="763">+AF1241-AD1241</f>
        <v>176.90999999999985</v>
      </c>
      <c r="AH1241" s="99">
        <v>1398.7</v>
      </c>
      <c r="AI1241" s="100">
        <f t="shared" ref="AI1241:AI1274" si="764">+AF1241*AH1241</f>
        <v>5649349.2999999998</v>
      </c>
      <c r="AJ1241" s="100">
        <f t="shared" si="760"/>
        <v>0</v>
      </c>
      <c r="AK1241" s="100">
        <v>0</v>
      </c>
      <c r="AL1241" s="100">
        <v>0</v>
      </c>
      <c r="AM1241" s="100">
        <v>0</v>
      </c>
      <c r="AN1241" s="100">
        <v>0</v>
      </c>
      <c r="AO1241" s="100">
        <v>0</v>
      </c>
      <c r="AP1241" s="100">
        <f t="shared" si="749"/>
        <v>282468</v>
      </c>
      <c r="AQ1241" s="101">
        <f t="shared" si="748"/>
        <v>5931818</v>
      </c>
      <c r="AR1241" s="101">
        <v>0</v>
      </c>
      <c r="AS1241" s="101">
        <v>0</v>
      </c>
      <c r="AT1241" s="102" t="s">
        <v>33</v>
      </c>
      <c r="AU1241" s="109" t="s">
        <v>118</v>
      </c>
      <c r="AV1241" s="100">
        <v>0</v>
      </c>
      <c r="AW1241" s="105">
        <v>0</v>
      </c>
      <c r="AX1241" s="216">
        <f t="shared" si="752"/>
        <v>4.3800445654865028</v>
      </c>
      <c r="AY1241" s="217">
        <f t="shared" si="753"/>
        <v>247445</v>
      </c>
      <c r="AZ1241" s="107"/>
      <c r="BA1241" s="94">
        <v>45740.631944444445</v>
      </c>
      <c r="BB1241" s="94">
        <v>45740.638888888891</v>
      </c>
      <c r="BC1241" s="94">
        <v>45740.638888888891</v>
      </c>
      <c r="BD1241" s="94">
        <v>45740.78402777778</v>
      </c>
      <c r="BE1241" s="95">
        <f t="shared" si="754"/>
        <v>0.15208333333430346</v>
      </c>
      <c r="BF1241" s="95">
        <v>0</v>
      </c>
      <c r="BG1241" s="95">
        <v>4.6527777777777779E-2</v>
      </c>
      <c r="BH1241" s="95">
        <f t="shared" si="755"/>
        <v>6.9444444452528842E-3</v>
      </c>
      <c r="BI1241" s="95">
        <f t="shared" si="755"/>
        <v>0</v>
      </c>
      <c r="BJ1241" s="95">
        <f t="shared" si="755"/>
        <v>0.14513888888905058</v>
      </c>
      <c r="BK1241" s="95">
        <f t="shared" si="756"/>
        <v>0.14513888888905058</v>
      </c>
      <c r="BL1241" s="95">
        <f t="shared" si="757"/>
        <v>9.8611111111272798E-2</v>
      </c>
      <c r="BM1241" s="95" t="str">
        <f t="shared" si="758"/>
        <v>00:00</v>
      </c>
      <c r="BN1241" s="110"/>
    </row>
    <row r="1242" spans="1:66" s="8" customFormat="1" ht="12.75" customHeight="1" x14ac:dyDescent="0.25">
      <c r="A1242" s="150">
        <v>1143</v>
      </c>
      <c r="B1242" s="150">
        <v>77</v>
      </c>
      <c r="C1242" s="90">
        <v>16</v>
      </c>
      <c r="D1242" s="111" t="s">
        <v>148</v>
      </c>
      <c r="E1242" s="210" t="s">
        <v>1152</v>
      </c>
      <c r="F1242" s="150" t="s">
        <v>19</v>
      </c>
      <c r="G1242" s="150" t="s">
        <v>17</v>
      </c>
      <c r="H1242" s="150" t="s">
        <v>150</v>
      </c>
      <c r="I1242" s="150" t="s">
        <v>1177</v>
      </c>
      <c r="J1242" s="151">
        <v>45738</v>
      </c>
      <c r="K1242" s="135" t="s">
        <v>122</v>
      </c>
      <c r="L1242" s="135">
        <v>461000844</v>
      </c>
      <c r="M1242" s="151">
        <v>45741</v>
      </c>
      <c r="N1242" s="152">
        <v>45740.805555555555</v>
      </c>
      <c r="O1242" s="152">
        <v>45740.791666666664</v>
      </c>
      <c r="P1242" s="152">
        <v>45740.809027777781</v>
      </c>
      <c r="Q1242" s="152">
        <v>45740.989583333336</v>
      </c>
      <c r="R1242" s="152">
        <v>45740.805555555555</v>
      </c>
      <c r="S1242" s="152" t="s">
        <v>118</v>
      </c>
      <c r="T1242" s="152">
        <v>45741.118055555555</v>
      </c>
      <c r="U1242" s="152">
        <v>45741.232638888891</v>
      </c>
      <c r="V1242" s="219">
        <f t="shared" si="750"/>
        <v>0.19791666667151731</v>
      </c>
      <c r="W1242" s="203">
        <v>0.20833333333333334</v>
      </c>
      <c r="X1242" s="219" t="str">
        <f t="shared" si="751"/>
        <v>00:00</v>
      </c>
      <c r="Y1242" s="96">
        <v>0</v>
      </c>
      <c r="Z1242" s="96">
        <v>57</v>
      </c>
      <c r="AA1242" s="96">
        <f t="shared" si="759"/>
        <v>57</v>
      </c>
      <c r="AB1242" s="97">
        <f t="shared" si="761"/>
        <v>0</v>
      </c>
      <c r="AC1242" s="97">
        <f t="shared" si="762"/>
        <v>3955.67</v>
      </c>
      <c r="AD1242" s="98">
        <v>3955.67</v>
      </c>
      <c r="AE1242" s="98">
        <v>3957.3</v>
      </c>
      <c r="AF1242" s="98">
        <v>3981</v>
      </c>
      <c r="AG1242" s="98">
        <f t="shared" si="763"/>
        <v>25.329999999999927</v>
      </c>
      <c r="AH1242" s="99">
        <v>672.5</v>
      </c>
      <c r="AI1242" s="100">
        <f t="shared" si="764"/>
        <v>2677222.5</v>
      </c>
      <c r="AJ1242" s="100">
        <f t="shared" si="760"/>
        <v>0</v>
      </c>
      <c r="AK1242" s="100">
        <v>0</v>
      </c>
      <c r="AL1242" s="100">
        <v>8550</v>
      </c>
      <c r="AM1242" s="100">
        <v>0</v>
      </c>
      <c r="AN1242" s="100">
        <v>0</v>
      </c>
      <c r="AO1242" s="100">
        <v>0</v>
      </c>
      <c r="AP1242" s="100">
        <f t="shared" si="749"/>
        <v>134289</v>
      </c>
      <c r="AQ1242" s="101">
        <f t="shared" si="748"/>
        <v>2820062</v>
      </c>
      <c r="AR1242" s="101">
        <v>0</v>
      </c>
      <c r="AS1242" s="101">
        <v>0</v>
      </c>
      <c r="AT1242" s="102" t="s">
        <v>33</v>
      </c>
      <c r="AU1242" s="109">
        <v>15</v>
      </c>
      <c r="AV1242" s="100">
        <f>29.56-20.06</f>
        <v>9.5</v>
      </c>
      <c r="AW1242" s="105">
        <v>0</v>
      </c>
      <c r="AX1242" s="216">
        <f t="shared" si="752"/>
        <v>0.6362722933936179</v>
      </c>
      <c r="AY1242" s="217">
        <f t="shared" si="753"/>
        <v>17035</v>
      </c>
      <c r="AZ1242" s="107"/>
      <c r="BA1242" s="94">
        <v>45740.805555555555</v>
      </c>
      <c r="BB1242" s="94">
        <v>45740.809027777781</v>
      </c>
      <c r="BC1242" s="94">
        <v>45740.809027777781</v>
      </c>
      <c r="BD1242" s="94">
        <v>45741.017361111109</v>
      </c>
      <c r="BE1242" s="95">
        <f t="shared" si="754"/>
        <v>0.21180555555474712</v>
      </c>
      <c r="BF1242" s="95">
        <v>0</v>
      </c>
      <c r="BG1242" s="95">
        <v>2.7083333333333334E-2</v>
      </c>
      <c r="BH1242" s="95">
        <f t="shared" si="755"/>
        <v>3.4722222262644209E-3</v>
      </c>
      <c r="BI1242" s="95">
        <f t="shared" si="755"/>
        <v>0</v>
      </c>
      <c r="BJ1242" s="95">
        <f t="shared" si="755"/>
        <v>0.20833333332848269</v>
      </c>
      <c r="BK1242" s="95">
        <f t="shared" si="756"/>
        <v>0.20833333332848269</v>
      </c>
      <c r="BL1242" s="95">
        <f t="shared" si="757"/>
        <v>0.18124999999514935</v>
      </c>
      <c r="BM1242" s="95">
        <f t="shared" si="758"/>
        <v>3.4722222214137732E-3</v>
      </c>
      <c r="BN1242" s="110"/>
    </row>
    <row r="1243" spans="1:66" s="8" customFormat="1" ht="12.75" customHeight="1" x14ac:dyDescent="0.25">
      <c r="A1243" s="150">
        <v>1144</v>
      </c>
      <c r="B1243" s="150">
        <v>78</v>
      </c>
      <c r="C1243" s="90">
        <v>17</v>
      </c>
      <c r="D1243" s="111" t="s">
        <v>148</v>
      </c>
      <c r="E1243" s="210" t="s">
        <v>1152</v>
      </c>
      <c r="F1243" s="150" t="s">
        <v>19</v>
      </c>
      <c r="G1243" s="150" t="s">
        <v>17</v>
      </c>
      <c r="H1243" s="150" t="s">
        <v>150</v>
      </c>
      <c r="I1243" s="150" t="s">
        <v>1178</v>
      </c>
      <c r="J1243" s="151">
        <v>45740</v>
      </c>
      <c r="K1243" s="135" t="s">
        <v>117</v>
      </c>
      <c r="L1243" s="135">
        <v>461000845</v>
      </c>
      <c r="M1243" s="151">
        <v>45741</v>
      </c>
      <c r="N1243" s="152">
        <v>45741.09375</v>
      </c>
      <c r="O1243" s="152">
        <v>45741.09375</v>
      </c>
      <c r="P1243" s="152">
        <v>45741.104166666664</v>
      </c>
      <c r="Q1243" s="152">
        <v>45741.302083333336</v>
      </c>
      <c r="R1243" s="152" t="s">
        <v>118</v>
      </c>
      <c r="S1243" s="152" t="s">
        <v>118</v>
      </c>
      <c r="T1243" s="152">
        <v>45741.333333333336</v>
      </c>
      <c r="U1243" s="152">
        <v>45741.46875</v>
      </c>
      <c r="V1243" s="219">
        <f t="shared" si="750"/>
        <v>0.20833333333575865</v>
      </c>
      <c r="W1243" s="203">
        <v>0.20833333333333334</v>
      </c>
      <c r="X1243" s="219">
        <f t="shared" si="751"/>
        <v>2.4253099528692701E-12</v>
      </c>
      <c r="Y1243" s="96">
        <v>0</v>
      </c>
      <c r="Z1243" s="96">
        <v>58</v>
      </c>
      <c r="AA1243" s="96">
        <f t="shared" si="759"/>
        <v>58</v>
      </c>
      <c r="AB1243" s="97">
        <f t="shared" si="761"/>
        <v>0</v>
      </c>
      <c r="AC1243" s="97">
        <f t="shared" si="762"/>
        <v>4033.81</v>
      </c>
      <c r="AD1243" s="98">
        <v>4033.81</v>
      </c>
      <c r="AE1243" s="98">
        <v>4039.3</v>
      </c>
      <c r="AF1243" s="98">
        <v>4056.8</v>
      </c>
      <c r="AG1243" s="98">
        <f t="shared" si="763"/>
        <v>22.990000000000236</v>
      </c>
      <c r="AH1243" s="99">
        <v>672.5</v>
      </c>
      <c r="AI1243" s="100">
        <f t="shared" si="764"/>
        <v>2728198</v>
      </c>
      <c r="AJ1243" s="100">
        <f t="shared" si="760"/>
        <v>0</v>
      </c>
      <c r="AK1243" s="100">
        <v>0</v>
      </c>
      <c r="AL1243" s="100">
        <v>39580</v>
      </c>
      <c r="AM1243" s="100">
        <v>0</v>
      </c>
      <c r="AN1243" s="100">
        <v>0</v>
      </c>
      <c r="AO1243" s="100">
        <v>0</v>
      </c>
      <c r="AP1243" s="100">
        <f t="shared" si="749"/>
        <v>138389</v>
      </c>
      <c r="AQ1243" s="101">
        <f t="shared" si="748"/>
        <v>2906167</v>
      </c>
      <c r="AR1243" s="101">
        <v>0</v>
      </c>
      <c r="AS1243" s="101">
        <v>0</v>
      </c>
      <c r="AT1243" s="102" t="s">
        <v>33</v>
      </c>
      <c r="AU1243" s="109">
        <v>8</v>
      </c>
      <c r="AV1243" s="100">
        <f>20.27-15.77</f>
        <v>4.5</v>
      </c>
      <c r="AW1243" s="105">
        <v>0</v>
      </c>
      <c r="AX1243" s="216">
        <f t="shared" si="752"/>
        <v>0.56670281995662186</v>
      </c>
      <c r="AY1243" s="217">
        <f t="shared" si="753"/>
        <v>15461</v>
      </c>
      <c r="AZ1243" s="107"/>
      <c r="BA1243" s="94">
        <v>45741.09375</v>
      </c>
      <c r="BB1243" s="94">
        <v>45741.104166666664</v>
      </c>
      <c r="BC1243" s="94">
        <v>45741.104166666664</v>
      </c>
      <c r="BD1243" s="94">
        <v>45741.320833333331</v>
      </c>
      <c r="BE1243" s="95">
        <f t="shared" si="754"/>
        <v>0.22708333333139308</v>
      </c>
      <c r="BF1243" s="95">
        <v>0</v>
      </c>
      <c r="BG1243" s="95">
        <v>7.4999999999999997E-2</v>
      </c>
      <c r="BH1243" s="95">
        <f t="shared" si="755"/>
        <v>1.0416666664241347E-2</v>
      </c>
      <c r="BI1243" s="95">
        <f t="shared" si="755"/>
        <v>0</v>
      </c>
      <c r="BJ1243" s="95">
        <f t="shared" si="755"/>
        <v>0.21666666666715173</v>
      </c>
      <c r="BK1243" s="95">
        <f t="shared" si="756"/>
        <v>0.21666666666715173</v>
      </c>
      <c r="BL1243" s="95">
        <f t="shared" si="757"/>
        <v>0.14166666666715172</v>
      </c>
      <c r="BM1243" s="95">
        <f t="shared" si="758"/>
        <v>1.8749999998059735E-2</v>
      </c>
      <c r="BN1243" s="110"/>
    </row>
    <row r="1244" spans="1:66" s="8" customFormat="1" ht="12.75" customHeight="1" x14ac:dyDescent="0.25">
      <c r="A1244" s="150">
        <v>1145</v>
      </c>
      <c r="B1244" s="150">
        <v>79</v>
      </c>
      <c r="C1244" s="90">
        <v>18</v>
      </c>
      <c r="D1244" s="111" t="s">
        <v>148</v>
      </c>
      <c r="E1244" s="210" t="s">
        <v>1152</v>
      </c>
      <c r="F1244" s="150" t="s">
        <v>19</v>
      </c>
      <c r="G1244" s="150" t="s">
        <v>17</v>
      </c>
      <c r="H1244" s="150" t="s">
        <v>150</v>
      </c>
      <c r="I1244" s="150" t="s">
        <v>1179</v>
      </c>
      <c r="J1244" s="151">
        <v>45740</v>
      </c>
      <c r="K1244" s="135" t="s">
        <v>122</v>
      </c>
      <c r="L1244" s="135">
        <v>461000846</v>
      </c>
      <c r="M1244" s="151">
        <v>45741</v>
      </c>
      <c r="N1244" s="152">
        <v>45741.395833333336</v>
      </c>
      <c r="O1244" s="152">
        <v>45741.395833333336</v>
      </c>
      <c r="P1244" s="152">
        <v>45741.399305555555</v>
      </c>
      <c r="Q1244" s="152">
        <v>45741.552083333336</v>
      </c>
      <c r="R1244" s="152" t="s">
        <v>118</v>
      </c>
      <c r="S1244" s="152" t="s">
        <v>118</v>
      </c>
      <c r="T1244" s="152">
        <v>45741.5625</v>
      </c>
      <c r="U1244" s="152">
        <v>45741.683333333334</v>
      </c>
      <c r="V1244" s="219">
        <f t="shared" si="750"/>
        <v>0.15625</v>
      </c>
      <c r="W1244" s="203">
        <v>0.20833333333333334</v>
      </c>
      <c r="X1244" s="219" t="str">
        <f t="shared" si="751"/>
        <v>00:00</v>
      </c>
      <c r="Y1244" s="96">
        <v>0</v>
      </c>
      <c r="Z1244" s="96">
        <v>58</v>
      </c>
      <c r="AA1244" s="96">
        <f t="shared" si="759"/>
        <v>58</v>
      </c>
      <c r="AB1244" s="97">
        <f t="shared" si="761"/>
        <v>0</v>
      </c>
      <c r="AC1244" s="97">
        <f t="shared" si="762"/>
        <v>3997.7399999999993</v>
      </c>
      <c r="AD1244" s="98">
        <v>3997.74</v>
      </c>
      <c r="AE1244" s="98">
        <v>4055.4</v>
      </c>
      <c r="AF1244" s="98">
        <v>4059</v>
      </c>
      <c r="AG1244" s="98">
        <f t="shared" si="763"/>
        <v>61.260000000000218</v>
      </c>
      <c r="AH1244" s="99">
        <v>672.5</v>
      </c>
      <c r="AI1244" s="100">
        <f t="shared" si="764"/>
        <v>2729677.5</v>
      </c>
      <c r="AJ1244" s="100">
        <f>(0.4*AH1244)*2</f>
        <v>538</v>
      </c>
      <c r="AK1244" s="100">
        <v>0</v>
      </c>
      <c r="AL1244" s="100">
        <v>0</v>
      </c>
      <c r="AM1244" s="100">
        <v>0</v>
      </c>
      <c r="AN1244" s="100">
        <v>0</v>
      </c>
      <c r="AO1244" s="100">
        <v>0</v>
      </c>
      <c r="AP1244" s="100">
        <f t="shared" si="749"/>
        <v>136511</v>
      </c>
      <c r="AQ1244" s="101">
        <f t="shared" si="748"/>
        <v>2866727</v>
      </c>
      <c r="AR1244" s="101">
        <v>0</v>
      </c>
      <c r="AS1244" s="101">
        <v>0</v>
      </c>
      <c r="AT1244" s="102" t="s">
        <v>33</v>
      </c>
      <c r="AU1244" s="109" t="s">
        <v>118</v>
      </c>
      <c r="AV1244" s="100">
        <v>0</v>
      </c>
      <c r="AW1244" s="105">
        <v>0</v>
      </c>
      <c r="AX1244" s="216">
        <f t="shared" si="752"/>
        <v>1.5092387287509292</v>
      </c>
      <c r="AY1244" s="217">
        <f t="shared" si="753"/>
        <v>41198</v>
      </c>
      <c r="AZ1244" s="107"/>
      <c r="BA1244" s="94">
        <v>45741.395833333336</v>
      </c>
      <c r="BB1244" s="94">
        <v>45741.399305555555</v>
      </c>
      <c r="BC1244" s="94">
        <v>45741.399305555555</v>
      </c>
      <c r="BD1244" s="94">
        <v>45741.523611111108</v>
      </c>
      <c r="BE1244" s="95">
        <f t="shared" si="754"/>
        <v>0.12777777777228039</v>
      </c>
      <c r="BF1244" s="95">
        <v>0</v>
      </c>
      <c r="BG1244" s="95">
        <v>0</v>
      </c>
      <c r="BH1244" s="95">
        <f t="shared" si="755"/>
        <v>3.4722222189884633E-3</v>
      </c>
      <c r="BI1244" s="95">
        <f t="shared" si="755"/>
        <v>0</v>
      </c>
      <c r="BJ1244" s="95">
        <f t="shared" si="755"/>
        <v>0.12430555555329192</v>
      </c>
      <c r="BK1244" s="95">
        <f t="shared" si="756"/>
        <v>0.12430555555329192</v>
      </c>
      <c r="BL1244" s="95">
        <f t="shared" si="757"/>
        <v>0.12430555555329192</v>
      </c>
      <c r="BM1244" s="95" t="str">
        <f t="shared" si="758"/>
        <v>00:00</v>
      </c>
      <c r="BN1244" s="110"/>
    </row>
    <row r="1245" spans="1:66" s="8" customFormat="1" ht="12.75" customHeight="1" x14ac:dyDescent="0.25">
      <c r="A1245" s="150">
        <v>1146</v>
      </c>
      <c r="B1245" s="150">
        <v>80</v>
      </c>
      <c r="C1245" s="90">
        <v>3</v>
      </c>
      <c r="D1245" s="111" t="s">
        <v>113</v>
      </c>
      <c r="E1245" s="210" t="s">
        <v>1169</v>
      </c>
      <c r="F1245" s="150" t="s">
        <v>38</v>
      </c>
      <c r="G1245" s="150" t="s">
        <v>15</v>
      </c>
      <c r="H1245" s="150" t="s">
        <v>1180</v>
      </c>
      <c r="I1245" s="150" t="s">
        <v>881</v>
      </c>
      <c r="J1245" s="151">
        <v>45741</v>
      </c>
      <c r="K1245" s="135" t="s">
        <v>117</v>
      </c>
      <c r="L1245" s="135">
        <v>281000292</v>
      </c>
      <c r="M1245" s="151">
        <v>45742</v>
      </c>
      <c r="N1245" s="152">
        <v>45741.652777777781</v>
      </c>
      <c r="O1245" s="152">
        <v>45741.652777777781</v>
      </c>
      <c r="P1245" s="152">
        <v>45741.659722222219</v>
      </c>
      <c r="Q1245" s="152">
        <v>45741.833333333336</v>
      </c>
      <c r="R1245" s="152" t="s">
        <v>118</v>
      </c>
      <c r="S1245" s="152" t="s">
        <v>118</v>
      </c>
      <c r="T1245" s="152">
        <v>45741.944444444445</v>
      </c>
      <c r="U1245" s="152">
        <v>45742.07916666667</v>
      </c>
      <c r="V1245" s="219">
        <f t="shared" si="750"/>
        <v>0.18055555555474712</v>
      </c>
      <c r="W1245" s="203">
        <v>0.20833333333333334</v>
      </c>
      <c r="X1245" s="219" t="str">
        <f t="shared" si="751"/>
        <v>00:00</v>
      </c>
      <c r="Y1245" s="96">
        <v>2</v>
      </c>
      <c r="Z1245" s="96">
        <v>57</v>
      </c>
      <c r="AA1245" s="96">
        <f t="shared" si="759"/>
        <v>59</v>
      </c>
      <c r="AB1245" s="97">
        <f t="shared" si="761"/>
        <v>132.53796610169491</v>
      </c>
      <c r="AC1245" s="97">
        <f t="shared" si="762"/>
        <v>3777.3320338983049</v>
      </c>
      <c r="AD1245" s="98">
        <v>3909.87</v>
      </c>
      <c r="AE1245" s="98">
        <v>4114.3999999999996</v>
      </c>
      <c r="AF1245" s="98">
        <v>4114.3999999999996</v>
      </c>
      <c r="AG1245" s="98">
        <f t="shared" si="763"/>
        <v>204.52999999999975</v>
      </c>
      <c r="AH1245" s="99">
        <v>1435.6</v>
      </c>
      <c r="AI1245" s="100">
        <f t="shared" si="764"/>
        <v>5906632.6399999987</v>
      </c>
      <c r="AJ1245" s="100">
        <f>(0*AH1245)*2</f>
        <v>0</v>
      </c>
      <c r="AK1245" s="100">
        <v>0</v>
      </c>
      <c r="AL1245" s="100">
        <v>0</v>
      </c>
      <c r="AM1245" s="100">
        <v>0</v>
      </c>
      <c r="AN1245" s="100">
        <v>0</v>
      </c>
      <c r="AO1245" s="100">
        <v>0</v>
      </c>
      <c r="AP1245" s="100">
        <f t="shared" si="749"/>
        <v>295332</v>
      </c>
      <c r="AQ1245" s="101">
        <f t="shared" si="748"/>
        <v>6201965</v>
      </c>
      <c r="AR1245" s="101">
        <v>0</v>
      </c>
      <c r="AS1245" s="101">
        <v>0</v>
      </c>
      <c r="AT1245" s="102" t="s">
        <v>33</v>
      </c>
      <c r="AU1245" s="109" t="s">
        <v>118</v>
      </c>
      <c r="AV1245" s="100">
        <v>0</v>
      </c>
      <c r="AW1245" s="105">
        <v>0</v>
      </c>
      <c r="AX1245" s="216">
        <f t="shared" si="752"/>
        <v>4.9710771923002079</v>
      </c>
      <c r="AY1245" s="217">
        <f t="shared" si="753"/>
        <v>293624</v>
      </c>
      <c r="AZ1245" s="107"/>
      <c r="BA1245" s="94">
        <v>45741.652777777781</v>
      </c>
      <c r="BB1245" s="94">
        <v>45741.659722222219</v>
      </c>
      <c r="BC1245" s="94">
        <v>45741.659722222219</v>
      </c>
      <c r="BD1245" s="94">
        <v>45741.809027777781</v>
      </c>
      <c r="BE1245" s="95">
        <f t="shared" si="754"/>
        <v>0.15625</v>
      </c>
      <c r="BF1245" s="95">
        <v>0</v>
      </c>
      <c r="BG1245" s="95">
        <v>4.5138888888888888E-2</v>
      </c>
      <c r="BH1245" s="95">
        <f t="shared" si="755"/>
        <v>6.9444444379769266E-3</v>
      </c>
      <c r="BI1245" s="95">
        <f t="shared" si="755"/>
        <v>0</v>
      </c>
      <c r="BJ1245" s="95">
        <f t="shared" si="755"/>
        <v>0.14930555556202307</v>
      </c>
      <c r="BK1245" s="95">
        <f t="shared" si="756"/>
        <v>0.14930555556202307</v>
      </c>
      <c r="BL1245" s="95">
        <f t="shared" si="757"/>
        <v>0.10416666667313418</v>
      </c>
      <c r="BM1245" s="95" t="str">
        <f t="shared" si="758"/>
        <v>00:00</v>
      </c>
      <c r="BN1245" s="110"/>
    </row>
    <row r="1246" spans="1:66" s="8" customFormat="1" ht="12.75" customHeight="1" x14ac:dyDescent="0.25">
      <c r="A1246" s="150">
        <v>1147</v>
      </c>
      <c r="B1246" s="150">
        <v>81</v>
      </c>
      <c r="C1246" s="90">
        <v>19</v>
      </c>
      <c r="D1246" s="111" t="s">
        <v>148</v>
      </c>
      <c r="E1246" s="210" t="s">
        <v>1152</v>
      </c>
      <c r="F1246" s="150" t="s">
        <v>19</v>
      </c>
      <c r="G1246" s="150" t="s">
        <v>17</v>
      </c>
      <c r="H1246" s="150" t="s">
        <v>150</v>
      </c>
      <c r="I1246" s="150" t="s">
        <v>1181</v>
      </c>
      <c r="J1246" s="151">
        <v>45740</v>
      </c>
      <c r="K1246" s="135" t="s">
        <v>122</v>
      </c>
      <c r="L1246" s="135">
        <v>461000847</v>
      </c>
      <c r="M1246" s="151">
        <v>45742</v>
      </c>
      <c r="N1246" s="152">
        <v>45741.802083333336</v>
      </c>
      <c r="O1246" s="152">
        <v>45741.802083333336</v>
      </c>
      <c r="P1246" s="152">
        <v>45741.805555555555</v>
      </c>
      <c r="Q1246" s="152">
        <v>45741.979166666664</v>
      </c>
      <c r="R1246" s="152" t="s">
        <v>118</v>
      </c>
      <c r="S1246" s="152" t="s">
        <v>118</v>
      </c>
      <c r="T1246" s="152">
        <v>45742.090277777781</v>
      </c>
      <c r="U1246" s="152">
        <v>45742.184027777781</v>
      </c>
      <c r="V1246" s="219">
        <f t="shared" si="750"/>
        <v>0.17708333332848269</v>
      </c>
      <c r="W1246" s="203">
        <v>0.20833333333333334</v>
      </c>
      <c r="X1246" s="219" t="str">
        <f t="shared" si="751"/>
        <v>00:00</v>
      </c>
      <c r="Y1246" s="96">
        <v>0</v>
      </c>
      <c r="Z1246" s="96">
        <v>58</v>
      </c>
      <c r="AA1246" s="96">
        <f t="shared" si="759"/>
        <v>58</v>
      </c>
      <c r="AB1246" s="97">
        <f t="shared" si="761"/>
        <v>0</v>
      </c>
      <c r="AC1246" s="97">
        <f t="shared" si="762"/>
        <v>4051.1400000000003</v>
      </c>
      <c r="AD1246" s="98">
        <v>4051.14</v>
      </c>
      <c r="AE1246" s="98">
        <v>4054.8</v>
      </c>
      <c r="AF1246" s="98">
        <v>4072</v>
      </c>
      <c r="AG1246" s="98">
        <f t="shared" si="763"/>
        <v>20.860000000000127</v>
      </c>
      <c r="AH1246" s="99">
        <v>672.5</v>
      </c>
      <c r="AI1246" s="100">
        <f t="shared" si="764"/>
        <v>2738420</v>
      </c>
      <c r="AJ1246" s="100">
        <f>(0*AH1246)*2</f>
        <v>0</v>
      </c>
      <c r="AK1246" s="100">
        <v>0</v>
      </c>
      <c r="AL1246" s="100">
        <v>24140</v>
      </c>
      <c r="AM1246" s="100">
        <v>0</v>
      </c>
      <c r="AN1246" s="100">
        <v>0</v>
      </c>
      <c r="AO1246" s="100">
        <v>0</v>
      </c>
      <c r="AP1246" s="100">
        <f t="shared" si="749"/>
        <v>138128</v>
      </c>
      <c r="AQ1246" s="101">
        <f t="shared" si="748"/>
        <v>2900688</v>
      </c>
      <c r="AR1246" s="101">
        <v>0</v>
      </c>
      <c r="AS1246" s="101">
        <v>0</v>
      </c>
      <c r="AT1246" s="102" t="s">
        <v>33</v>
      </c>
      <c r="AU1246" s="109">
        <v>7</v>
      </c>
      <c r="AV1246" s="100">
        <f>20.27-15.27</f>
        <v>5</v>
      </c>
      <c r="AW1246" s="105">
        <v>0</v>
      </c>
      <c r="AX1246" s="216">
        <f t="shared" si="752"/>
        <v>0.51227897838900116</v>
      </c>
      <c r="AY1246" s="217">
        <f t="shared" si="753"/>
        <v>14029</v>
      </c>
      <c r="AZ1246" s="107"/>
      <c r="BA1246" s="94">
        <v>45741.802083333336</v>
      </c>
      <c r="BB1246" s="94">
        <v>45741.805555555555</v>
      </c>
      <c r="BC1246" s="94">
        <v>45741.822916666664</v>
      </c>
      <c r="BD1246" s="94">
        <v>45741.965277777781</v>
      </c>
      <c r="BE1246" s="95">
        <f t="shared" si="754"/>
        <v>0.16319444444525288</v>
      </c>
      <c r="BF1246" s="95">
        <v>0</v>
      </c>
      <c r="BG1246" s="95">
        <v>2.0833333333333332E-2</v>
      </c>
      <c r="BH1246" s="95">
        <f t="shared" si="755"/>
        <v>3.4722222189884633E-3</v>
      </c>
      <c r="BI1246" s="95">
        <f t="shared" si="755"/>
        <v>1.7361111109494232E-2</v>
      </c>
      <c r="BJ1246" s="95">
        <f t="shared" si="755"/>
        <v>0.14236111111677019</v>
      </c>
      <c r="BK1246" s="95">
        <f t="shared" si="756"/>
        <v>0.15972222222626442</v>
      </c>
      <c r="BL1246" s="95">
        <f t="shared" si="757"/>
        <v>0.13888888889293108</v>
      </c>
      <c r="BM1246" s="95" t="str">
        <f t="shared" si="758"/>
        <v>00:00</v>
      </c>
      <c r="BN1246" s="110"/>
    </row>
    <row r="1247" spans="1:66" s="8" customFormat="1" ht="12.75" customHeight="1" x14ac:dyDescent="0.25">
      <c r="A1247" s="115">
        <v>1148</v>
      </c>
      <c r="B1247" s="115">
        <v>82</v>
      </c>
      <c r="C1247" s="90">
        <v>16</v>
      </c>
      <c r="D1247" s="115" t="s">
        <v>148</v>
      </c>
      <c r="E1247" s="210" t="s">
        <v>1132</v>
      </c>
      <c r="F1247" s="115" t="s">
        <v>16</v>
      </c>
      <c r="G1247" s="115" t="s">
        <v>17</v>
      </c>
      <c r="H1247" s="115" t="s">
        <v>150</v>
      </c>
      <c r="I1247" s="115" t="s">
        <v>1182</v>
      </c>
      <c r="J1247" s="117">
        <v>45741</v>
      </c>
      <c r="K1247" s="116" t="s">
        <v>117</v>
      </c>
      <c r="L1247" s="116">
        <v>461000848</v>
      </c>
      <c r="M1247" s="117">
        <v>45742</v>
      </c>
      <c r="N1247" s="118">
        <v>45742.114583333336</v>
      </c>
      <c r="O1247" s="118">
        <v>45742.104166666664</v>
      </c>
      <c r="P1247" s="118">
        <v>45742.118055555555</v>
      </c>
      <c r="Q1247" s="118">
        <v>45742.302083333336</v>
      </c>
      <c r="R1247" s="118">
        <v>45742.114583333336</v>
      </c>
      <c r="S1247" s="118" t="s">
        <v>118</v>
      </c>
      <c r="T1247" s="118">
        <v>45742.458333333336</v>
      </c>
      <c r="U1247" s="118">
        <v>45742.611111111109</v>
      </c>
      <c r="V1247" s="119">
        <f t="shared" si="750"/>
        <v>0.19791666667151731</v>
      </c>
      <c r="W1247" s="185">
        <v>0.20833333333333334</v>
      </c>
      <c r="X1247" s="119" t="str">
        <f t="shared" si="751"/>
        <v>00:00</v>
      </c>
      <c r="Y1247" s="96">
        <v>0</v>
      </c>
      <c r="Z1247" s="96">
        <v>9</v>
      </c>
      <c r="AA1247" s="96">
        <f t="shared" si="759"/>
        <v>9</v>
      </c>
      <c r="AB1247" s="97">
        <f t="shared" si="761"/>
        <v>0</v>
      </c>
      <c r="AC1247" s="97">
        <f t="shared" si="762"/>
        <v>607.84000000000015</v>
      </c>
      <c r="AD1247" s="98">
        <f>4037.75-3429.91</f>
        <v>607.84000000000015</v>
      </c>
      <c r="AE1247" s="98">
        <f>4048.2-3420.8</f>
        <v>627.39999999999964</v>
      </c>
      <c r="AF1247" s="98">
        <f>4063.8-3431.1</f>
        <v>632.70000000000027</v>
      </c>
      <c r="AG1247" s="98">
        <f t="shared" si="763"/>
        <v>24.860000000000127</v>
      </c>
      <c r="AH1247" s="99">
        <v>672.5</v>
      </c>
      <c r="AI1247" s="100">
        <f t="shared" si="764"/>
        <v>425490.75000000017</v>
      </c>
      <c r="AJ1247" s="100">
        <f>(0*AH1247)*2</f>
        <v>0</v>
      </c>
      <c r="AK1247" s="100">
        <v>0</v>
      </c>
      <c r="AL1247" s="100">
        <v>24140</v>
      </c>
      <c r="AM1247" s="100">
        <v>0</v>
      </c>
      <c r="AN1247" s="100">
        <v>0</v>
      </c>
      <c r="AO1247" s="100">
        <v>0</v>
      </c>
      <c r="AP1247" s="100">
        <f t="shared" si="749"/>
        <v>22482</v>
      </c>
      <c r="AQ1247" s="101">
        <f t="shared" si="748"/>
        <v>472113</v>
      </c>
      <c r="AR1247" s="101">
        <v>0</v>
      </c>
      <c r="AS1247" s="101">
        <v>0</v>
      </c>
      <c r="AT1247" s="137" t="s">
        <v>33</v>
      </c>
      <c r="AU1247" s="120">
        <v>5</v>
      </c>
      <c r="AV1247" s="121">
        <f>17.34-14.34</f>
        <v>3</v>
      </c>
      <c r="AW1247" s="105">
        <v>0</v>
      </c>
      <c r="AX1247" s="140">
        <f>IFERROR(((AG1247+AG1248)/(AF1247+AF1248))*100, "")</f>
        <v>0.64102564102564552</v>
      </c>
      <c r="AY1247" s="141">
        <f>ROUNDUP((AG1247+AG1248)*AH1247,0)</f>
        <v>17519</v>
      </c>
      <c r="AZ1247" s="107"/>
      <c r="BA1247" s="118">
        <v>45742.114583333336</v>
      </c>
      <c r="BB1247" s="118">
        <v>45742.118055555555</v>
      </c>
      <c r="BC1247" s="118">
        <v>45742.118055555555</v>
      </c>
      <c r="BD1247" s="118">
        <v>45742.229166666664</v>
      </c>
      <c r="BE1247" s="119">
        <f t="shared" si="754"/>
        <v>0.11458333332848269</v>
      </c>
      <c r="BF1247" s="119">
        <v>0</v>
      </c>
      <c r="BG1247" s="119">
        <v>0</v>
      </c>
      <c r="BH1247" s="119">
        <f t="shared" si="755"/>
        <v>3.4722222189884633E-3</v>
      </c>
      <c r="BI1247" s="119">
        <f t="shared" si="755"/>
        <v>0</v>
      </c>
      <c r="BJ1247" s="119">
        <f t="shared" si="755"/>
        <v>0.11111111110949423</v>
      </c>
      <c r="BK1247" s="119">
        <f t="shared" si="756"/>
        <v>0.11111111110949423</v>
      </c>
      <c r="BL1247" s="119">
        <f t="shared" si="757"/>
        <v>0.11111111110949423</v>
      </c>
      <c r="BM1247" s="119" t="str">
        <f t="shared" si="758"/>
        <v>00:00</v>
      </c>
      <c r="BN1247" s="110" t="s">
        <v>1183</v>
      </c>
    </row>
    <row r="1248" spans="1:66" s="8" customFormat="1" ht="12.75" customHeight="1" x14ac:dyDescent="0.25">
      <c r="A1248" s="122"/>
      <c r="B1248" s="122"/>
      <c r="C1248" s="90">
        <v>1</v>
      </c>
      <c r="D1248" s="122"/>
      <c r="E1248" s="210" t="s">
        <v>1184</v>
      </c>
      <c r="F1248" s="122"/>
      <c r="G1248" s="122"/>
      <c r="H1248" s="122"/>
      <c r="I1248" s="122"/>
      <c r="J1248" s="124"/>
      <c r="K1248" s="123"/>
      <c r="L1248" s="123"/>
      <c r="M1248" s="124"/>
      <c r="N1248" s="125"/>
      <c r="O1248" s="125"/>
      <c r="P1248" s="125"/>
      <c r="Q1248" s="125"/>
      <c r="R1248" s="125"/>
      <c r="S1248" s="125"/>
      <c r="T1248" s="125"/>
      <c r="U1248" s="125"/>
      <c r="V1248" s="126"/>
      <c r="W1248" s="189"/>
      <c r="X1248" s="126"/>
      <c r="Y1248" s="96">
        <v>0</v>
      </c>
      <c r="Z1248" s="96">
        <v>49</v>
      </c>
      <c r="AA1248" s="96">
        <f t="shared" si="759"/>
        <v>49</v>
      </c>
      <c r="AB1248" s="97">
        <f t="shared" si="761"/>
        <v>0</v>
      </c>
      <c r="AC1248" s="97">
        <f t="shared" si="762"/>
        <v>3429.91</v>
      </c>
      <c r="AD1248" s="98">
        <v>3429.91</v>
      </c>
      <c r="AE1248" s="98">
        <v>3420.8</v>
      </c>
      <c r="AF1248" s="98">
        <v>3431.1</v>
      </c>
      <c r="AG1248" s="98">
        <f t="shared" si="763"/>
        <v>1.1900000000000546</v>
      </c>
      <c r="AH1248" s="99">
        <v>672.5</v>
      </c>
      <c r="AI1248" s="100">
        <f t="shared" si="764"/>
        <v>2307414.75</v>
      </c>
      <c r="AJ1248" s="100">
        <f>(0*AH1248)*2</f>
        <v>0</v>
      </c>
      <c r="AK1248" s="100">
        <v>0</v>
      </c>
      <c r="AL1248" s="100">
        <v>0</v>
      </c>
      <c r="AM1248" s="100">
        <v>0</v>
      </c>
      <c r="AN1248" s="100">
        <v>0</v>
      </c>
      <c r="AO1248" s="100">
        <v>0</v>
      </c>
      <c r="AP1248" s="100">
        <f t="shared" si="749"/>
        <v>115371</v>
      </c>
      <c r="AQ1248" s="101">
        <f t="shared" si="748"/>
        <v>2422786</v>
      </c>
      <c r="AR1248" s="101">
        <v>0</v>
      </c>
      <c r="AS1248" s="101">
        <v>0</v>
      </c>
      <c r="AT1248" s="138"/>
      <c r="AU1248" s="127"/>
      <c r="AV1248" s="128"/>
      <c r="AW1248" s="105">
        <v>0</v>
      </c>
      <c r="AX1248" s="144"/>
      <c r="AY1248" s="145"/>
      <c r="AZ1248" s="107"/>
      <c r="BA1248" s="125"/>
      <c r="BB1248" s="125"/>
      <c r="BC1248" s="125"/>
      <c r="BD1248" s="125"/>
      <c r="BE1248" s="126"/>
      <c r="BF1248" s="126"/>
      <c r="BG1248" s="126"/>
      <c r="BH1248" s="126"/>
      <c r="BI1248" s="126"/>
      <c r="BJ1248" s="126"/>
      <c r="BK1248" s="126"/>
      <c r="BL1248" s="126"/>
      <c r="BM1248" s="126"/>
      <c r="BN1248" s="110" t="s">
        <v>1185</v>
      </c>
    </row>
    <row r="1249" spans="1:66" s="8" customFormat="1" ht="12.75" customHeight="1" x14ac:dyDescent="0.25">
      <c r="A1249" s="150">
        <v>1149</v>
      </c>
      <c r="B1249" s="150">
        <v>83</v>
      </c>
      <c r="C1249" s="90">
        <v>2</v>
      </c>
      <c r="D1249" s="111" t="s">
        <v>148</v>
      </c>
      <c r="E1249" s="210" t="s">
        <v>1184</v>
      </c>
      <c r="F1249" s="150" t="s">
        <v>16</v>
      </c>
      <c r="G1249" s="150" t="s">
        <v>17</v>
      </c>
      <c r="H1249" s="150" t="s">
        <v>150</v>
      </c>
      <c r="I1249" s="150" t="s">
        <v>1186</v>
      </c>
      <c r="J1249" s="151">
        <v>45741</v>
      </c>
      <c r="K1249" s="135" t="s">
        <v>122</v>
      </c>
      <c r="L1249" s="135">
        <v>461000849</v>
      </c>
      <c r="M1249" s="151">
        <v>45742</v>
      </c>
      <c r="N1249" s="152">
        <v>45742.479166666664</v>
      </c>
      <c r="O1249" s="152">
        <v>45742.479166666664</v>
      </c>
      <c r="P1249" s="152">
        <v>45742.486111111109</v>
      </c>
      <c r="Q1249" s="152">
        <v>45742.666666666664</v>
      </c>
      <c r="R1249" s="152" t="s">
        <v>118</v>
      </c>
      <c r="S1249" s="152" t="s">
        <v>118</v>
      </c>
      <c r="T1249" s="152">
        <v>45742.677083333336</v>
      </c>
      <c r="U1249" s="152">
        <v>45742.773611111108</v>
      </c>
      <c r="V1249" s="219">
        <f>+Q1249-O1249</f>
        <v>0.1875</v>
      </c>
      <c r="W1249" s="203">
        <v>0.20833333333333334</v>
      </c>
      <c r="X1249" s="219" t="str">
        <f>IF(VALUE(V1249)&lt;=VALUE("05:00"),"00:00",VALUE(V1249)-VALUE("05:00"))</f>
        <v>00:00</v>
      </c>
      <c r="Y1249" s="96">
        <v>0</v>
      </c>
      <c r="Z1249" s="96">
        <v>58</v>
      </c>
      <c r="AA1249" s="96">
        <f t="shared" si="759"/>
        <v>58</v>
      </c>
      <c r="AB1249" s="97">
        <f t="shared" si="761"/>
        <v>0</v>
      </c>
      <c r="AC1249" s="97">
        <f t="shared" si="762"/>
        <v>4046.6000000000004</v>
      </c>
      <c r="AD1249" s="98">
        <v>4046.6</v>
      </c>
      <c r="AE1249" s="98">
        <v>4060</v>
      </c>
      <c r="AF1249" s="98">
        <v>4071.6</v>
      </c>
      <c r="AG1249" s="98">
        <f t="shared" si="763"/>
        <v>25</v>
      </c>
      <c r="AH1249" s="99">
        <v>672.5</v>
      </c>
      <c r="AI1249" s="100">
        <f t="shared" si="764"/>
        <v>2738151</v>
      </c>
      <c r="AJ1249" s="100">
        <f>(1*AH1249)*2</f>
        <v>1345</v>
      </c>
      <c r="AK1249" s="100">
        <v>0</v>
      </c>
      <c r="AL1249" s="100">
        <v>0</v>
      </c>
      <c r="AM1249" s="100">
        <v>0</v>
      </c>
      <c r="AN1249" s="100">
        <v>0</v>
      </c>
      <c r="AO1249" s="100">
        <v>0</v>
      </c>
      <c r="AP1249" s="100">
        <f t="shared" si="749"/>
        <v>136975</v>
      </c>
      <c r="AQ1249" s="101">
        <f t="shared" si="748"/>
        <v>2876471</v>
      </c>
      <c r="AR1249" s="101">
        <v>0</v>
      </c>
      <c r="AS1249" s="101">
        <v>0</v>
      </c>
      <c r="AT1249" s="102" t="s">
        <v>33</v>
      </c>
      <c r="AU1249" s="109" t="s">
        <v>118</v>
      </c>
      <c r="AV1249" s="100">
        <v>0</v>
      </c>
      <c r="AW1249" s="105">
        <v>0</v>
      </c>
      <c r="AX1249" s="216">
        <f>IFERROR((AG1249/AF1249)*100, "")</f>
        <v>0.61400923469888991</v>
      </c>
      <c r="AY1249" s="217">
        <f>ROUNDUP(AG1249*AH1249,0)</f>
        <v>16813</v>
      </c>
      <c r="AZ1249" s="107"/>
      <c r="BA1249" s="94">
        <v>45742.479166666664</v>
      </c>
      <c r="BB1249" s="94">
        <v>45742.486111111109</v>
      </c>
      <c r="BC1249" s="94">
        <v>45742.510416666664</v>
      </c>
      <c r="BD1249" s="94">
        <v>45742.642361111109</v>
      </c>
      <c r="BE1249" s="95">
        <f t="shared" si="754"/>
        <v>0.16319444444525288</v>
      </c>
      <c r="BF1249" s="95">
        <v>2.4305555555555556E-2</v>
      </c>
      <c r="BG1249" s="95">
        <v>0</v>
      </c>
      <c r="BH1249" s="95">
        <f t="shared" si="755"/>
        <v>6.9444444452528842E-3</v>
      </c>
      <c r="BI1249" s="95">
        <f t="shared" si="755"/>
        <v>2.4305555554747116E-2</v>
      </c>
      <c r="BJ1249" s="95">
        <f t="shared" si="755"/>
        <v>0.13194444444525288</v>
      </c>
      <c r="BK1249" s="95">
        <f>+BI1249+BJ1249</f>
        <v>0.15625</v>
      </c>
      <c r="BL1249" s="95">
        <f t="shared" ref="BL1249:BL1250" si="765">+BE1249-BH1249-BF1249-BG1249</f>
        <v>0.13194444444444445</v>
      </c>
      <c r="BM1249" s="95" t="str">
        <f t="shared" ref="BM1249:BM1250" si="766">IF(VALUE(BE1249)&lt;=VALUE("05:00"),"00:00",VALUE(BE1249)-VALUE("05:00"))</f>
        <v>00:00</v>
      </c>
      <c r="BN1249" s="110"/>
    </row>
    <row r="1250" spans="1:66" s="8" customFormat="1" ht="12.75" customHeight="1" x14ac:dyDescent="0.25">
      <c r="A1250" s="115">
        <v>1150</v>
      </c>
      <c r="B1250" s="115">
        <v>84</v>
      </c>
      <c r="C1250" s="90">
        <v>1</v>
      </c>
      <c r="D1250" s="115" t="s">
        <v>113</v>
      </c>
      <c r="E1250" s="210" t="s">
        <v>1169</v>
      </c>
      <c r="F1250" s="115" t="s">
        <v>32</v>
      </c>
      <c r="G1250" s="115" t="s">
        <v>15</v>
      </c>
      <c r="H1250" s="115" t="s">
        <v>135</v>
      </c>
      <c r="I1250" s="115" t="s">
        <v>1187</v>
      </c>
      <c r="J1250" s="117">
        <v>45742</v>
      </c>
      <c r="K1250" s="116" t="s">
        <v>117</v>
      </c>
      <c r="L1250" s="116">
        <v>261006274</v>
      </c>
      <c r="M1250" s="117">
        <v>45743</v>
      </c>
      <c r="N1250" s="118">
        <v>45742.638888888891</v>
      </c>
      <c r="O1250" s="118">
        <v>45742.638888888891</v>
      </c>
      <c r="P1250" s="118">
        <v>45742.645833333336</v>
      </c>
      <c r="Q1250" s="118">
        <v>45742.822916666664</v>
      </c>
      <c r="R1250" s="118" t="s">
        <v>118</v>
      </c>
      <c r="S1250" s="118" t="s">
        <v>118</v>
      </c>
      <c r="T1250" s="118">
        <v>45742.895833333336</v>
      </c>
      <c r="U1250" s="118">
        <v>45743.004166666666</v>
      </c>
      <c r="V1250" s="119">
        <f>+Q1250-O1250</f>
        <v>0.18402777777373558</v>
      </c>
      <c r="W1250" s="185">
        <v>0.20833333333333334</v>
      </c>
      <c r="X1250" s="119" t="str">
        <f>IF(VALUE(V1250)&lt;=VALUE("05:00"),"00:00",VALUE(V1250)-VALUE("05:00"))</f>
        <v>00:00</v>
      </c>
      <c r="Y1250" s="96">
        <v>2</v>
      </c>
      <c r="Z1250" s="96">
        <v>54</v>
      </c>
      <c r="AA1250" s="96">
        <f t="shared" si="759"/>
        <v>56</v>
      </c>
      <c r="AB1250" s="97">
        <f t="shared" si="761"/>
        <v>131.46214285714285</v>
      </c>
      <c r="AC1250" s="97">
        <f t="shared" si="762"/>
        <v>3549.4778571428569</v>
      </c>
      <c r="AD1250" s="98">
        <f>3746.14-65.2</f>
        <v>3680.94</v>
      </c>
      <c r="AE1250" s="98">
        <f>3960.1-70</f>
        <v>3890.1</v>
      </c>
      <c r="AF1250" s="98">
        <f>3960.2-70</f>
        <v>3890.2</v>
      </c>
      <c r="AG1250" s="98">
        <f t="shared" si="763"/>
        <v>209.25999999999976</v>
      </c>
      <c r="AH1250" s="99">
        <v>797.2</v>
      </c>
      <c r="AI1250" s="100">
        <f t="shared" si="764"/>
        <v>3101267.44</v>
      </c>
      <c r="AJ1250" s="100">
        <f>(0*AH1250)*2</f>
        <v>0</v>
      </c>
      <c r="AK1250" s="100">
        <v>0</v>
      </c>
      <c r="AL1250" s="100">
        <v>0</v>
      </c>
      <c r="AM1250" s="100">
        <v>0</v>
      </c>
      <c r="AN1250" s="100">
        <v>0</v>
      </c>
      <c r="AO1250" s="100">
        <v>0</v>
      </c>
      <c r="AP1250" s="100">
        <f>ROUNDUP(SUM(AI1250:AO1250)*5%,0)-1</f>
        <v>155063</v>
      </c>
      <c r="AQ1250" s="101">
        <f t="shared" si="748"/>
        <v>3256331</v>
      </c>
      <c r="AR1250" s="101">
        <v>0</v>
      </c>
      <c r="AS1250" s="101">
        <v>0</v>
      </c>
      <c r="AT1250" s="137" t="s">
        <v>33</v>
      </c>
      <c r="AU1250" s="120" t="s">
        <v>118</v>
      </c>
      <c r="AV1250" s="121">
        <v>0</v>
      </c>
      <c r="AW1250" s="105">
        <v>0</v>
      </c>
      <c r="AX1250" s="140">
        <f>IFERROR(((AG1250+AG1251)/(AF1250+AF1251))*100, "")</f>
        <v>5.4052825614867883</v>
      </c>
      <c r="AY1250" s="141">
        <f>ROUNDUP((AG1250+AG1251)*AH1250,0)</f>
        <v>170649</v>
      </c>
      <c r="AZ1250" s="107"/>
      <c r="BA1250" s="118">
        <v>45742.638888888891</v>
      </c>
      <c r="BB1250" s="118">
        <v>45742.645833333336</v>
      </c>
      <c r="BC1250" s="118">
        <v>45742.652777777781</v>
      </c>
      <c r="BD1250" s="118">
        <v>45742.791666666664</v>
      </c>
      <c r="BE1250" s="119">
        <f t="shared" si="754"/>
        <v>0.15277777777373558</v>
      </c>
      <c r="BF1250" s="119">
        <v>0</v>
      </c>
      <c r="BG1250" s="119">
        <v>4.7222222222222221E-2</v>
      </c>
      <c r="BH1250" s="119">
        <f t="shared" si="755"/>
        <v>6.9444444452528842E-3</v>
      </c>
      <c r="BI1250" s="119">
        <f t="shared" si="755"/>
        <v>6.9444444452528842E-3</v>
      </c>
      <c r="BJ1250" s="119">
        <f t="shared" si="755"/>
        <v>0.13888888888322981</v>
      </c>
      <c r="BK1250" s="119">
        <f>+BI1250+BJ1250</f>
        <v>0.14583333332848269</v>
      </c>
      <c r="BL1250" s="119">
        <f t="shared" si="765"/>
        <v>9.8611111106260474E-2</v>
      </c>
      <c r="BM1250" s="119" t="str">
        <f t="shared" si="766"/>
        <v>00:00</v>
      </c>
      <c r="BN1250" s="110" t="s">
        <v>1188</v>
      </c>
    </row>
    <row r="1251" spans="1:66" s="8" customFormat="1" ht="12.75" customHeight="1" x14ac:dyDescent="0.25">
      <c r="A1251" s="122"/>
      <c r="B1251" s="122"/>
      <c r="C1251" s="90">
        <v>15</v>
      </c>
      <c r="D1251" s="122"/>
      <c r="E1251" s="210" t="s">
        <v>1024</v>
      </c>
      <c r="F1251" s="122"/>
      <c r="G1251" s="122"/>
      <c r="H1251" s="122"/>
      <c r="I1251" s="122"/>
      <c r="J1251" s="124"/>
      <c r="K1251" s="123"/>
      <c r="L1251" s="123"/>
      <c r="M1251" s="124"/>
      <c r="N1251" s="125"/>
      <c r="O1251" s="125"/>
      <c r="P1251" s="125"/>
      <c r="Q1251" s="125"/>
      <c r="R1251" s="125"/>
      <c r="S1251" s="125"/>
      <c r="T1251" s="125"/>
      <c r="U1251" s="125"/>
      <c r="V1251" s="126"/>
      <c r="W1251" s="189"/>
      <c r="X1251" s="126"/>
      <c r="Y1251" s="96">
        <v>0</v>
      </c>
      <c r="Z1251" s="96">
        <v>1</v>
      </c>
      <c r="AA1251" s="96">
        <f t="shared" si="759"/>
        <v>1</v>
      </c>
      <c r="AB1251" s="97">
        <f t="shared" si="761"/>
        <v>0</v>
      </c>
      <c r="AC1251" s="97">
        <f t="shared" si="762"/>
        <v>65.2</v>
      </c>
      <c r="AD1251" s="98">
        <v>65.2</v>
      </c>
      <c r="AE1251" s="98">
        <v>70</v>
      </c>
      <c r="AF1251" s="98">
        <v>70</v>
      </c>
      <c r="AG1251" s="98">
        <f t="shared" si="763"/>
        <v>4.7999999999999972</v>
      </c>
      <c r="AH1251" s="99">
        <v>797.2</v>
      </c>
      <c r="AI1251" s="100">
        <f t="shared" si="764"/>
        <v>55804</v>
      </c>
      <c r="AJ1251" s="100">
        <f>(0*AH1251)*2</f>
        <v>0</v>
      </c>
      <c r="AK1251" s="100">
        <v>0</v>
      </c>
      <c r="AL1251" s="100">
        <v>0</v>
      </c>
      <c r="AM1251" s="100">
        <v>0</v>
      </c>
      <c r="AN1251" s="100">
        <v>0</v>
      </c>
      <c r="AO1251" s="100">
        <v>0</v>
      </c>
      <c r="AP1251" s="100">
        <f t="shared" ref="AP1251:AP1274" si="767">ROUNDUP(SUM(AI1251:AO1251)*5%,0)</f>
        <v>2791</v>
      </c>
      <c r="AQ1251" s="101">
        <f t="shared" si="748"/>
        <v>58595</v>
      </c>
      <c r="AR1251" s="101">
        <v>0</v>
      </c>
      <c r="AS1251" s="101">
        <v>0</v>
      </c>
      <c r="AT1251" s="138"/>
      <c r="AU1251" s="127"/>
      <c r="AV1251" s="128"/>
      <c r="AW1251" s="105">
        <v>0</v>
      </c>
      <c r="AX1251" s="144"/>
      <c r="AY1251" s="145"/>
      <c r="AZ1251" s="107"/>
      <c r="BA1251" s="125"/>
      <c r="BB1251" s="125"/>
      <c r="BC1251" s="125"/>
      <c r="BD1251" s="125"/>
      <c r="BE1251" s="126"/>
      <c r="BF1251" s="126"/>
      <c r="BG1251" s="126"/>
      <c r="BH1251" s="126"/>
      <c r="BI1251" s="126"/>
      <c r="BJ1251" s="126"/>
      <c r="BK1251" s="126"/>
      <c r="BL1251" s="126"/>
      <c r="BM1251" s="126"/>
      <c r="BN1251" s="110" t="s">
        <v>1189</v>
      </c>
    </row>
    <row r="1252" spans="1:66" s="8" customFormat="1" ht="12.75" customHeight="1" x14ac:dyDescent="0.25">
      <c r="A1252" s="150">
        <v>1151</v>
      </c>
      <c r="B1252" s="150">
        <v>85</v>
      </c>
      <c r="C1252" s="90">
        <v>3</v>
      </c>
      <c r="D1252" s="111" t="s">
        <v>148</v>
      </c>
      <c r="E1252" s="210" t="s">
        <v>1184</v>
      </c>
      <c r="F1252" s="150" t="s">
        <v>16</v>
      </c>
      <c r="G1252" s="150" t="s">
        <v>17</v>
      </c>
      <c r="H1252" s="150" t="s">
        <v>150</v>
      </c>
      <c r="I1252" s="150" t="s">
        <v>1190</v>
      </c>
      <c r="J1252" s="151">
        <v>45741</v>
      </c>
      <c r="K1252" s="135" t="s">
        <v>122</v>
      </c>
      <c r="L1252" s="135">
        <v>461000850</v>
      </c>
      <c r="M1252" s="151">
        <v>45743</v>
      </c>
      <c r="N1252" s="152">
        <v>45742.8125</v>
      </c>
      <c r="O1252" s="152">
        <v>45742.8125</v>
      </c>
      <c r="P1252" s="152">
        <v>45742.822916666664</v>
      </c>
      <c r="Q1252" s="152">
        <v>45742.989583333336</v>
      </c>
      <c r="R1252" s="152" t="s">
        <v>118</v>
      </c>
      <c r="S1252" s="152" t="s">
        <v>118</v>
      </c>
      <c r="T1252" s="152">
        <v>45743.0625</v>
      </c>
      <c r="U1252" s="152">
        <v>45743.159722222219</v>
      </c>
      <c r="V1252" s="219">
        <f t="shared" ref="V1252:V1265" si="768">+Q1252-O1252</f>
        <v>0.17708333333575865</v>
      </c>
      <c r="W1252" s="203">
        <v>0.20833333333333334</v>
      </c>
      <c r="X1252" s="219" t="str">
        <f t="shared" ref="X1252:X1265" si="769">IF(VALUE(V1252)&lt;=VALUE("05:00"),"00:00",VALUE(V1252)-VALUE("05:00"))</f>
        <v>00:00</v>
      </c>
      <c r="Y1252" s="96">
        <v>0</v>
      </c>
      <c r="Z1252" s="96">
        <v>58</v>
      </c>
      <c r="AA1252" s="96">
        <f t="shared" si="759"/>
        <v>58</v>
      </c>
      <c r="AB1252" s="97">
        <f t="shared" si="761"/>
        <v>0</v>
      </c>
      <c r="AC1252" s="97">
        <f t="shared" si="762"/>
        <v>3985.58</v>
      </c>
      <c r="AD1252" s="98">
        <v>3985.58</v>
      </c>
      <c r="AE1252" s="98">
        <v>4022.5</v>
      </c>
      <c r="AF1252" s="98">
        <v>4026.2</v>
      </c>
      <c r="AG1252" s="98">
        <f t="shared" si="763"/>
        <v>40.619999999999891</v>
      </c>
      <c r="AH1252" s="99">
        <v>672.5</v>
      </c>
      <c r="AI1252" s="100">
        <f t="shared" si="764"/>
        <v>2707619.5</v>
      </c>
      <c r="AJ1252" s="100">
        <f>(0.4*AH1252)*2</f>
        <v>538</v>
      </c>
      <c r="AK1252" s="100">
        <v>0</v>
      </c>
      <c r="AL1252" s="100">
        <v>0</v>
      </c>
      <c r="AM1252" s="100">
        <v>0</v>
      </c>
      <c r="AN1252" s="100">
        <v>0</v>
      </c>
      <c r="AO1252" s="100">
        <v>0</v>
      </c>
      <c r="AP1252" s="100">
        <f t="shared" si="767"/>
        <v>135408</v>
      </c>
      <c r="AQ1252" s="101">
        <f t="shared" si="748"/>
        <v>2843566</v>
      </c>
      <c r="AR1252" s="101">
        <v>0</v>
      </c>
      <c r="AS1252" s="101">
        <v>0</v>
      </c>
      <c r="AT1252" s="102" t="s">
        <v>33</v>
      </c>
      <c r="AU1252" s="109" t="s">
        <v>118</v>
      </c>
      <c r="AV1252" s="100">
        <v>0</v>
      </c>
      <c r="AW1252" s="105">
        <v>0</v>
      </c>
      <c r="AX1252" s="216">
        <f t="shared" ref="AX1252:AX1264" si="770">IFERROR((AG1252/AF1252)*100, "")</f>
        <v>1.008891758978687</v>
      </c>
      <c r="AY1252" s="217">
        <f t="shared" ref="AY1252:AY1264" si="771">ROUNDUP(AG1252*AH1252,0)</f>
        <v>27317</v>
      </c>
      <c r="AZ1252" s="107"/>
      <c r="BA1252" s="94">
        <v>45742.8125</v>
      </c>
      <c r="BB1252" s="94">
        <v>45742.822916666664</v>
      </c>
      <c r="BC1252" s="94">
        <v>45742.822916666664</v>
      </c>
      <c r="BD1252" s="94">
        <v>45742.9375</v>
      </c>
      <c r="BE1252" s="95">
        <f t="shared" si="754"/>
        <v>0.125</v>
      </c>
      <c r="BF1252" s="95">
        <v>0</v>
      </c>
      <c r="BG1252" s="95">
        <v>2.0833333333333333E-3</v>
      </c>
      <c r="BH1252" s="95">
        <f t="shared" si="755"/>
        <v>1.0416666664241347E-2</v>
      </c>
      <c r="BI1252" s="95">
        <f t="shared" si="755"/>
        <v>0</v>
      </c>
      <c r="BJ1252" s="95">
        <f t="shared" si="755"/>
        <v>0.11458333333575865</v>
      </c>
      <c r="BK1252" s="95">
        <f t="shared" ref="BK1252:BK1265" si="772">+BI1252+BJ1252</f>
        <v>0.11458333333575865</v>
      </c>
      <c r="BL1252" s="95">
        <f t="shared" ref="BL1252:BL1265" si="773">+BE1252-BH1252-BF1252-BG1252</f>
        <v>0.11250000000242531</v>
      </c>
      <c r="BM1252" s="95" t="str">
        <f t="shared" ref="BM1252:BM1265" si="774">IF(VALUE(BE1252)&lt;=VALUE("05:00"),"00:00",VALUE(BE1252)-VALUE("05:00"))</f>
        <v>00:00</v>
      </c>
      <c r="BN1252" s="110"/>
    </row>
    <row r="1253" spans="1:66" s="8" customFormat="1" ht="12.75" customHeight="1" x14ac:dyDescent="0.25">
      <c r="A1253" s="150">
        <v>1152</v>
      </c>
      <c r="B1253" s="150">
        <v>86</v>
      </c>
      <c r="C1253" s="90">
        <v>4</v>
      </c>
      <c r="D1253" s="111" t="s">
        <v>148</v>
      </c>
      <c r="E1253" s="210" t="s">
        <v>1184</v>
      </c>
      <c r="F1253" s="150" t="s">
        <v>16</v>
      </c>
      <c r="G1253" s="150" t="s">
        <v>17</v>
      </c>
      <c r="H1253" s="150" t="s">
        <v>150</v>
      </c>
      <c r="I1253" s="150" t="s">
        <v>1191</v>
      </c>
      <c r="J1253" s="151">
        <v>45741</v>
      </c>
      <c r="K1253" s="135" t="s">
        <v>117</v>
      </c>
      <c r="L1253" s="135">
        <v>461000851</v>
      </c>
      <c r="M1253" s="151">
        <v>45743</v>
      </c>
      <c r="N1253" s="152">
        <v>45743.072916666664</v>
      </c>
      <c r="O1253" s="152">
        <v>45743.072916666664</v>
      </c>
      <c r="P1253" s="152">
        <v>45743.086805555555</v>
      </c>
      <c r="Q1253" s="152">
        <v>45743.28125</v>
      </c>
      <c r="R1253" s="152" t="s">
        <v>118</v>
      </c>
      <c r="S1253" s="152" t="s">
        <v>118</v>
      </c>
      <c r="T1253" s="152">
        <v>45743.291666666664</v>
      </c>
      <c r="U1253" s="152">
        <v>45743.385416666664</v>
      </c>
      <c r="V1253" s="219">
        <f t="shared" si="768"/>
        <v>0.20833333333575865</v>
      </c>
      <c r="W1253" s="203">
        <v>0.20833333333333334</v>
      </c>
      <c r="X1253" s="219">
        <f t="shared" si="769"/>
        <v>2.4253099528692701E-12</v>
      </c>
      <c r="Y1253" s="96">
        <v>0</v>
      </c>
      <c r="Z1253" s="96">
        <v>57</v>
      </c>
      <c r="AA1253" s="96">
        <f t="shared" si="759"/>
        <v>57</v>
      </c>
      <c r="AB1253" s="97">
        <f t="shared" si="761"/>
        <v>0</v>
      </c>
      <c r="AC1253" s="97">
        <f t="shared" si="762"/>
        <v>3955.57</v>
      </c>
      <c r="AD1253" s="98">
        <v>3955.57</v>
      </c>
      <c r="AE1253" s="98">
        <v>3957.3</v>
      </c>
      <c r="AF1253" s="98">
        <v>3976</v>
      </c>
      <c r="AG1253" s="98">
        <f t="shared" si="763"/>
        <v>20.429999999999836</v>
      </c>
      <c r="AH1253" s="99">
        <v>672.5</v>
      </c>
      <c r="AI1253" s="100">
        <f t="shared" si="764"/>
        <v>2673860</v>
      </c>
      <c r="AJ1253" s="100">
        <f>(2.6*AH1253)*2</f>
        <v>3497</v>
      </c>
      <c r="AK1253" s="100">
        <v>0</v>
      </c>
      <c r="AL1253" s="100">
        <v>0</v>
      </c>
      <c r="AM1253" s="100">
        <v>0</v>
      </c>
      <c r="AN1253" s="100">
        <v>0</v>
      </c>
      <c r="AO1253" s="100">
        <v>0</v>
      </c>
      <c r="AP1253" s="100">
        <f t="shared" si="767"/>
        <v>133868</v>
      </c>
      <c r="AQ1253" s="101">
        <f t="shared" si="748"/>
        <v>2811225</v>
      </c>
      <c r="AR1253" s="101">
        <v>0</v>
      </c>
      <c r="AS1253" s="101">
        <v>0</v>
      </c>
      <c r="AT1253" s="102" t="s">
        <v>33</v>
      </c>
      <c r="AU1253" s="109" t="s">
        <v>118</v>
      </c>
      <c r="AV1253" s="100">
        <v>0</v>
      </c>
      <c r="AW1253" s="105">
        <v>0</v>
      </c>
      <c r="AX1253" s="216">
        <f t="shared" si="770"/>
        <v>0.51383299798792348</v>
      </c>
      <c r="AY1253" s="217">
        <f t="shared" si="771"/>
        <v>13740</v>
      </c>
      <c r="AZ1253" s="107"/>
      <c r="BA1253" s="94">
        <v>45743.072916666664</v>
      </c>
      <c r="BB1253" s="94">
        <v>45743.086805555555</v>
      </c>
      <c r="BC1253" s="94">
        <v>45743.086805555555</v>
      </c>
      <c r="BD1253" s="94">
        <v>45743.197916666664</v>
      </c>
      <c r="BE1253" s="95">
        <f t="shared" si="754"/>
        <v>0.125</v>
      </c>
      <c r="BF1253" s="95">
        <v>0</v>
      </c>
      <c r="BG1253" s="95">
        <v>0</v>
      </c>
      <c r="BH1253" s="95">
        <f t="shared" si="755"/>
        <v>1.3888888890505768E-2</v>
      </c>
      <c r="BI1253" s="95">
        <f t="shared" si="755"/>
        <v>0</v>
      </c>
      <c r="BJ1253" s="95">
        <f t="shared" si="755"/>
        <v>0.11111111110949423</v>
      </c>
      <c r="BK1253" s="95">
        <f t="shared" si="772"/>
        <v>0.11111111110949423</v>
      </c>
      <c r="BL1253" s="95">
        <f t="shared" si="773"/>
        <v>0.11111111110949423</v>
      </c>
      <c r="BM1253" s="95" t="str">
        <f t="shared" si="774"/>
        <v>00:00</v>
      </c>
      <c r="BN1253" s="110"/>
    </row>
    <row r="1254" spans="1:66" s="8" customFormat="1" ht="12.75" customHeight="1" x14ac:dyDescent="0.25">
      <c r="A1254" s="150">
        <v>1153</v>
      </c>
      <c r="B1254" s="150">
        <v>87</v>
      </c>
      <c r="C1254" s="90">
        <v>5</v>
      </c>
      <c r="D1254" s="111" t="s">
        <v>148</v>
      </c>
      <c r="E1254" s="210" t="s">
        <v>1184</v>
      </c>
      <c r="F1254" s="150" t="s">
        <v>16</v>
      </c>
      <c r="G1254" s="150" t="s">
        <v>17</v>
      </c>
      <c r="H1254" s="150" t="s">
        <v>150</v>
      </c>
      <c r="I1254" s="150" t="s">
        <v>1192</v>
      </c>
      <c r="J1254" s="151">
        <v>45742</v>
      </c>
      <c r="K1254" s="135" t="s">
        <v>122</v>
      </c>
      <c r="L1254" s="135">
        <v>461000852</v>
      </c>
      <c r="M1254" s="151">
        <v>45743</v>
      </c>
      <c r="N1254" s="152">
        <v>45743.21875</v>
      </c>
      <c r="O1254" s="152">
        <v>45743.21875</v>
      </c>
      <c r="P1254" s="152">
        <v>45743.232638888891</v>
      </c>
      <c r="Q1254" s="152">
        <v>45743.416666666664</v>
      </c>
      <c r="R1254" s="152" t="s">
        <v>118</v>
      </c>
      <c r="S1254" s="152" t="s">
        <v>118</v>
      </c>
      <c r="T1254" s="152">
        <v>45743.427083333336</v>
      </c>
      <c r="U1254" s="152">
        <v>45743.53125</v>
      </c>
      <c r="V1254" s="219">
        <f t="shared" si="768"/>
        <v>0.19791666666424135</v>
      </c>
      <c r="W1254" s="203">
        <v>0.20833333333333334</v>
      </c>
      <c r="X1254" s="219" t="str">
        <f t="shared" si="769"/>
        <v>00:00</v>
      </c>
      <c r="Y1254" s="96">
        <v>0</v>
      </c>
      <c r="Z1254" s="96">
        <v>58</v>
      </c>
      <c r="AA1254" s="96">
        <f t="shared" si="759"/>
        <v>58</v>
      </c>
      <c r="AB1254" s="97">
        <f t="shared" si="761"/>
        <v>0</v>
      </c>
      <c r="AC1254" s="97">
        <f t="shared" si="762"/>
        <v>3990.7999999999997</v>
      </c>
      <c r="AD1254" s="98">
        <v>3990.8</v>
      </c>
      <c r="AE1254" s="98">
        <v>4028.7</v>
      </c>
      <c r="AF1254" s="98">
        <v>4036.6</v>
      </c>
      <c r="AG1254" s="98">
        <f t="shared" si="763"/>
        <v>45.799999999999727</v>
      </c>
      <c r="AH1254" s="99">
        <v>672.5</v>
      </c>
      <c r="AI1254" s="100">
        <f t="shared" si="764"/>
        <v>2714613.5</v>
      </c>
      <c r="AJ1254" s="100">
        <f t="shared" ref="AJ1254:AJ1273" si="775">(0*AH1254)*2</f>
        <v>0</v>
      </c>
      <c r="AK1254" s="100">
        <v>0</v>
      </c>
      <c r="AL1254" s="100">
        <v>24140</v>
      </c>
      <c r="AM1254" s="100">
        <v>0</v>
      </c>
      <c r="AN1254" s="100">
        <v>0</v>
      </c>
      <c r="AO1254" s="100">
        <v>0</v>
      </c>
      <c r="AP1254" s="100">
        <f t="shared" si="767"/>
        <v>136938</v>
      </c>
      <c r="AQ1254" s="101">
        <f t="shared" si="748"/>
        <v>2875692</v>
      </c>
      <c r="AR1254" s="101">
        <v>0</v>
      </c>
      <c r="AS1254" s="101">
        <v>0</v>
      </c>
      <c r="AT1254" s="102" t="s">
        <v>33</v>
      </c>
      <c r="AU1254" s="109">
        <v>2</v>
      </c>
      <c r="AV1254" s="100">
        <f>8.82-7.32</f>
        <v>1.5</v>
      </c>
      <c r="AW1254" s="105">
        <v>0</v>
      </c>
      <c r="AX1254" s="216">
        <f t="shared" si="770"/>
        <v>1.1346182430758491</v>
      </c>
      <c r="AY1254" s="217">
        <f t="shared" si="771"/>
        <v>30801</v>
      </c>
      <c r="AZ1254" s="107"/>
      <c r="BA1254" s="94">
        <v>45743.208333333336</v>
      </c>
      <c r="BB1254" s="94">
        <v>45743.211805555555</v>
      </c>
      <c r="BC1254" s="94">
        <v>45743.211805555555</v>
      </c>
      <c r="BD1254" s="94">
        <v>45743.326388888891</v>
      </c>
      <c r="BE1254" s="95">
        <f t="shared" si="754"/>
        <v>0.11805555555474712</v>
      </c>
      <c r="BF1254" s="95">
        <v>0</v>
      </c>
      <c r="BG1254" s="95">
        <v>0</v>
      </c>
      <c r="BH1254" s="95">
        <f t="shared" si="755"/>
        <v>3.4722222189884633E-3</v>
      </c>
      <c r="BI1254" s="95">
        <f t="shared" si="755"/>
        <v>0</v>
      </c>
      <c r="BJ1254" s="95">
        <f t="shared" si="755"/>
        <v>0.11458333333575865</v>
      </c>
      <c r="BK1254" s="95">
        <f t="shared" si="772"/>
        <v>0.11458333333575865</v>
      </c>
      <c r="BL1254" s="95">
        <f t="shared" si="773"/>
        <v>0.11458333333575865</v>
      </c>
      <c r="BM1254" s="95" t="str">
        <f t="shared" si="774"/>
        <v>00:00</v>
      </c>
      <c r="BN1254" s="110"/>
    </row>
    <row r="1255" spans="1:66" s="8" customFormat="1" ht="12.75" customHeight="1" x14ac:dyDescent="0.25">
      <c r="A1255" s="150">
        <v>1154</v>
      </c>
      <c r="B1255" s="150">
        <v>88</v>
      </c>
      <c r="C1255" s="90">
        <v>9</v>
      </c>
      <c r="D1255" s="111" t="s">
        <v>113</v>
      </c>
      <c r="E1255" s="210" t="s">
        <v>1079</v>
      </c>
      <c r="F1255" s="150" t="s">
        <v>27</v>
      </c>
      <c r="G1255" s="150" t="s">
        <v>12</v>
      </c>
      <c r="H1255" s="150" t="s">
        <v>115</v>
      </c>
      <c r="I1255" s="150" t="s">
        <v>1193</v>
      </c>
      <c r="J1255" s="151">
        <v>45743</v>
      </c>
      <c r="K1255" s="135" t="s">
        <v>117</v>
      </c>
      <c r="L1255" s="135">
        <v>282001149</v>
      </c>
      <c r="M1255" s="151">
        <v>45744</v>
      </c>
      <c r="N1255" s="152">
        <v>45743.451388888891</v>
      </c>
      <c r="O1255" s="152">
        <v>45743.451388888891</v>
      </c>
      <c r="P1255" s="152">
        <v>45743.454861111109</v>
      </c>
      <c r="Q1255" s="152">
        <v>45743.645833333336</v>
      </c>
      <c r="R1255" s="152" t="s">
        <v>118</v>
      </c>
      <c r="S1255" s="152" t="s">
        <v>118</v>
      </c>
      <c r="T1255" s="152">
        <v>45743.666666666664</v>
      </c>
      <c r="U1255" s="152">
        <v>45743.78125</v>
      </c>
      <c r="V1255" s="219">
        <f t="shared" si="768"/>
        <v>0.19444444444525288</v>
      </c>
      <c r="W1255" s="203">
        <v>0.20833333333333334</v>
      </c>
      <c r="X1255" s="219" t="str">
        <f t="shared" si="769"/>
        <v>00:00</v>
      </c>
      <c r="Y1255" s="96">
        <v>0</v>
      </c>
      <c r="Z1255" s="96">
        <v>58</v>
      </c>
      <c r="AA1255" s="96">
        <f t="shared" si="759"/>
        <v>58</v>
      </c>
      <c r="AB1255" s="97">
        <f t="shared" si="761"/>
        <v>0</v>
      </c>
      <c r="AC1255" s="97">
        <f t="shared" si="762"/>
        <v>4021.07</v>
      </c>
      <c r="AD1255" s="98">
        <v>4021.07</v>
      </c>
      <c r="AE1255" s="98">
        <v>4058</v>
      </c>
      <c r="AF1255" s="98">
        <v>4070.6</v>
      </c>
      <c r="AG1255" s="98">
        <f t="shared" si="763"/>
        <v>49.529999999999745</v>
      </c>
      <c r="AH1255" s="99">
        <v>1586.7</v>
      </c>
      <c r="AI1255" s="100">
        <f t="shared" si="764"/>
        <v>6458821.0200000005</v>
      </c>
      <c r="AJ1255" s="100">
        <f t="shared" si="775"/>
        <v>0</v>
      </c>
      <c r="AK1255" s="100">
        <v>0</v>
      </c>
      <c r="AL1255" s="100">
        <v>24140</v>
      </c>
      <c r="AM1255" s="100">
        <v>0</v>
      </c>
      <c r="AN1255" s="100">
        <v>0</v>
      </c>
      <c r="AO1255" s="100">
        <f>IFERROR(AF1255*20+(((AJ1255/AH1255)/2)*20),0)</f>
        <v>81412</v>
      </c>
      <c r="AP1255" s="100">
        <f t="shared" si="767"/>
        <v>328219</v>
      </c>
      <c r="AQ1255" s="101">
        <f t="shared" si="748"/>
        <v>6892593</v>
      </c>
      <c r="AR1255" s="101">
        <v>0</v>
      </c>
      <c r="AS1255" s="101">
        <v>0</v>
      </c>
      <c r="AT1255" s="102" t="s">
        <v>33</v>
      </c>
      <c r="AU1255" s="109">
        <v>5</v>
      </c>
      <c r="AV1255" s="100">
        <f>14.4-11.4</f>
        <v>3</v>
      </c>
      <c r="AW1255" s="105">
        <v>0</v>
      </c>
      <c r="AX1255" s="216">
        <f t="shared" si="770"/>
        <v>1.2167739399597048</v>
      </c>
      <c r="AY1255" s="217">
        <f t="shared" si="771"/>
        <v>78590</v>
      </c>
      <c r="AZ1255" s="107"/>
      <c r="BA1255" s="94">
        <v>45743.451388888891</v>
      </c>
      <c r="BB1255" s="94">
        <v>45743.451388888891</v>
      </c>
      <c r="BC1255" s="94">
        <v>45743.454861111109</v>
      </c>
      <c r="BD1255" s="94">
        <v>45743.630555555559</v>
      </c>
      <c r="BE1255" s="95">
        <f t="shared" si="754"/>
        <v>0.17916666666860692</v>
      </c>
      <c r="BF1255" s="95">
        <v>0</v>
      </c>
      <c r="BG1255" s="95">
        <v>0</v>
      </c>
      <c r="BH1255" s="95">
        <f t="shared" si="755"/>
        <v>0</v>
      </c>
      <c r="BI1255" s="95">
        <f t="shared" si="755"/>
        <v>3.4722222189884633E-3</v>
      </c>
      <c r="BJ1255" s="95">
        <f t="shared" si="755"/>
        <v>0.17569444444961846</v>
      </c>
      <c r="BK1255" s="95">
        <f t="shared" si="772"/>
        <v>0.17916666666860692</v>
      </c>
      <c r="BL1255" s="95">
        <f t="shared" si="773"/>
        <v>0.17916666666860692</v>
      </c>
      <c r="BM1255" s="95" t="str">
        <f t="shared" si="774"/>
        <v>00:00</v>
      </c>
      <c r="BN1255" s="110"/>
    </row>
    <row r="1256" spans="1:66" s="8" customFormat="1" ht="12.75" customHeight="1" x14ac:dyDescent="0.25">
      <c r="A1256" s="150">
        <v>1155</v>
      </c>
      <c r="B1256" s="150">
        <v>89</v>
      </c>
      <c r="C1256" s="90">
        <v>6</v>
      </c>
      <c r="D1256" s="111" t="s">
        <v>148</v>
      </c>
      <c r="E1256" s="210" t="s">
        <v>1184</v>
      </c>
      <c r="F1256" s="150" t="s">
        <v>16</v>
      </c>
      <c r="G1256" s="150" t="s">
        <v>17</v>
      </c>
      <c r="H1256" s="150" t="s">
        <v>150</v>
      </c>
      <c r="I1256" s="150" t="s">
        <v>1194</v>
      </c>
      <c r="J1256" s="151">
        <v>45742</v>
      </c>
      <c r="K1256" s="135" t="s">
        <v>122</v>
      </c>
      <c r="L1256" s="135">
        <v>461000853</v>
      </c>
      <c r="M1256" s="151">
        <v>45744</v>
      </c>
      <c r="N1256" s="152">
        <v>45743.625</v>
      </c>
      <c r="O1256" s="152">
        <v>45743.625</v>
      </c>
      <c r="P1256" s="152">
        <v>45743.635416666664</v>
      </c>
      <c r="Q1256" s="152">
        <v>45743.822916666664</v>
      </c>
      <c r="R1256" s="152" t="s">
        <v>118</v>
      </c>
      <c r="S1256" s="152" t="s">
        <v>118</v>
      </c>
      <c r="T1256" s="152">
        <v>45743.927083333336</v>
      </c>
      <c r="U1256" s="152">
        <v>45744.055555555555</v>
      </c>
      <c r="V1256" s="219">
        <f t="shared" si="768"/>
        <v>0.19791666666424135</v>
      </c>
      <c r="W1256" s="203">
        <v>0.20833333333333334</v>
      </c>
      <c r="X1256" s="219" t="str">
        <f t="shared" si="769"/>
        <v>00:00</v>
      </c>
      <c r="Y1256" s="96">
        <v>0</v>
      </c>
      <c r="Z1256" s="96">
        <v>58</v>
      </c>
      <c r="AA1256" s="96">
        <f t="shared" si="759"/>
        <v>58</v>
      </c>
      <c r="AB1256" s="97">
        <f t="shared" si="761"/>
        <v>0</v>
      </c>
      <c r="AC1256" s="97">
        <f t="shared" si="762"/>
        <v>4006.84</v>
      </c>
      <c r="AD1256" s="98">
        <v>4006.84</v>
      </c>
      <c r="AE1256" s="98">
        <v>4026.6</v>
      </c>
      <c r="AF1256" s="98">
        <v>4040.8</v>
      </c>
      <c r="AG1256" s="98">
        <f t="shared" si="763"/>
        <v>33.960000000000036</v>
      </c>
      <c r="AH1256" s="99">
        <v>672.5</v>
      </c>
      <c r="AI1256" s="100">
        <f t="shared" si="764"/>
        <v>2717438</v>
      </c>
      <c r="AJ1256" s="100">
        <f t="shared" si="775"/>
        <v>0</v>
      </c>
      <c r="AK1256" s="100">
        <v>0</v>
      </c>
      <c r="AL1256" s="100">
        <v>24140</v>
      </c>
      <c r="AM1256" s="100">
        <v>0</v>
      </c>
      <c r="AN1256" s="100">
        <v>0</v>
      </c>
      <c r="AO1256" s="100">
        <v>0</v>
      </c>
      <c r="AP1256" s="100">
        <f t="shared" si="767"/>
        <v>137079</v>
      </c>
      <c r="AQ1256" s="101">
        <f t="shared" si="748"/>
        <v>2878657</v>
      </c>
      <c r="AR1256" s="101">
        <v>0</v>
      </c>
      <c r="AS1256" s="101">
        <v>0</v>
      </c>
      <c r="AT1256" s="102" t="s">
        <v>33</v>
      </c>
      <c r="AU1256" s="109">
        <v>7</v>
      </c>
      <c r="AV1256" s="100">
        <f>16.65-12.15</f>
        <v>4.4999999999999982</v>
      </c>
      <c r="AW1256" s="105">
        <v>0</v>
      </c>
      <c r="AX1256" s="216">
        <f t="shared" si="770"/>
        <v>0.84042763809146792</v>
      </c>
      <c r="AY1256" s="217">
        <f t="shared" si="771"/>
        <v>22839</v>
      </c>
      <c r="AZ1256" s="107"/>
      <c r="BA1256" s="94">
        <v>45743.625</v>
      </c>
      <c r="BB1256" s="94">
        <v>45743.635416666664</v>
      </c>
      <c r="BC1256" s="94">
        <v>45743.65625</v>
      </c>
      <c r="BD1256" s="94">
        <v>45743.770833333336</v>
      </c>
      <c r="BE1256" s="95">
        <f t="shared" si="754"/>
        <v>0.14583333333575865</v>
      </c>
      <c r="BF1256" s="95">
        <v>1.3888888888888888E-2</v>
      </c>
      <c r="BG1256" s="95">
        <v>6.9444444444444441E-3</v>
      </c>
      <c r="BH1256" s="95">
        <f t="shared" si="755"/>
        <v>1.0416666664241347E-2</v>
      </c>
      <c r="BI1256" s="95">
        <f t="shared" si="755"/>
        <v>2.0833333335758653E-2</v>
      </c>
      <c r="BJ1256" s="95">
        <f t="shared" si="755"/>
        <v>0.11458333333575865</v>
      </c>
      <c r="BK1256" s="95">
        <f t="shared" si="772"/>
        <v>0.13541666667151731</v>
      </c>
      <c r="BL1256" s="95">
        <f t="shared" si="773"/>
        <v>0.11458333333818396</v>
      </c>
      <c r="BM1256" s="95" t="str">
        <f t="shared" si="774"/>
        <v>00:00</v>
      </c>
      <c r="BN1256" s="110"/>
    </row>
    <row r="1257" spans="1:66" s="8" customFormat="1" ht="12.75" customHeight="1" x14ac:dyDescent="0.25">
      <c r="A1257" s="150">
        <v>1156</v>
      </c>
      <c r="B1257" s="150">
        <v>90</v>
      </c>
      <c r="C1257" s="90">
        <v>7</v>
      </c>
      <c r="D1257" s="111" t="s">
        <v>148</v>
      </c>
      <c r="E1257" s="210" t="s">
        <v>1184</v>
      </c>
      <c r="F1257" s="150" t="s">
        <v>16</v>
      </c>
      <c r="G1257" s="150" t="s">
        <v>17</v>
      </c>
      <c r="H1257" s="150" t="s">
        <v>150</v>
      </c>
      <c r="I1257" s="150" t="s">
        <v>1195</v>
      </c>
      <c r="J1257" s="151">
        <v>45742</v>
      </c>
      <c r="K1257" s="135" t="s">
        <v>117</v>
      </c>
      <c r="L1257" s="135">
        <v>461000854</v>
      </c>
      <c r="M1257" s="151">
        <v>45744</v>
      </c>
      <c r="N1257" s="152">
        <v>45744.041666666664</v>
      </c>
      <c r="O1257" s="152">
        <v>45744.041666666664</v>
      </c>
      <c r="P1257" s="152">
        <v>45744.048611111109</v>
      </c>
      <c r="Q1257" s="152">
        <v>45744.229166666664</v>
      </c>
      <c r="R1257" s="152" t="s">
        <v>118</v>
      </c>
      <c r="S1257" s="152" t="s">
        <v>118</v>
      </c>
      <c r="T1257" s="152">
        <v>45744.291666666664</v>
      </c>
      <c r="U1257" s="152">
        <v>45744.427083333336</v>
      </c>
      <c r="V1257" s="219">
        <f t="shared" si="768"/>
        <v>0.1875</v>
      </c>
      <c r="W1257" s="203">
        <v>0.20833333333333334</v>
      </c>
      <c r="X1257" s="219" t="str">
        <f t="shared" si="769"/>
        <v>00:00</v>
      </c>
      <c r="Y1257" s="96">
        <v>0</v>
      </c>
      <c r="Z1257" s="96">
        <v>58</v>
      </c>
      <c r="AA1257" s="96">
        <f t="shared" si="759"/>
        <v>58</v>
      </c>
      <c r="AB1257" s="97">
        <f t="shared" si="761"/>
        <v>0</v>
      </c>
      <c r="AC1257" s="97">
        <f t="shared" si="762"/>
        <v>4059.9399999999996</v>
      </c>
      <c r="AD1257" s="98">
        <v>4059.94</v>
      </c>
      <c r="AE1257" s="98">
        <v>4055.4</v>
      </c>
      <c r="AF1257" s="98">
        <v>4075.2</v>
      </c>
      <c r="AG1257" s="98">
        <f t="shared" si="763"/>
        <v>15.259999999999764</v>
      </c>
      <c r="AH1257" s="99">
        <v>672.5</v>
      </c>
      <c r="AI1257" s="100">
        <f t="shared" si="764"/>
        <v>2740572</v>
      </c>
      <c r="AJ1257" s="100">
        <f t="shared" si="775"/>
        <v>0</v>
      </c>
      <c r="AK1257" s="100">
        <v>0</v>
      </c>
      <c r="AL1257" s="100">
        <v>24140</v>
      </c>
      <c r="AM1257" s="100">
        <v>0</v>
      </c>
      <c r="AN1257" s="100">
        <v>0</v>
      </c>
      <c r="AO1257" s="100">
        <v>0</v>
      </c>
      <c r="AP1257" s="100">
        <f t="shared" si="767"/>
        <v>138236</v>
      </c>
      <c r="AQ1257" s="101">
        <f t="shared" si="748"/>
        <v>2902948</v>
      </c>
      <c r="AR1257" s="101">
        <v>0</v>
      </c>
      <c r="AS1257" s="101">
        <v>0</v>
      </c>
      <c r="AT1257" s="102" t="s">
        <v>33</v>
      </c>
      <c r="AU1257" s="109">
        <v>8</v>
      </c>
      <c r="AV1257" s="100">
        <f>22.6-17.6</f>
        <v>5</v>
      </c>
      <c r="AW1257" s="105">
        <v>0</v>
      </c>
      <c r="AX1257" s="216">
        <f t="shared" si="770"/>
        <v>0.37446014919512571</v>
      </c>
      <c r="AY1257" s="217">
        <f t="shared" si="771"/>
        <v>10263</v>
      </c>
      <c r="AZ1257" s="107"/>
      <c r="BA1257" s="94">
        <v>45744.041666666664</v>
      </c>
      <c r="BB1257" s="94">
        <v>45744.048611111109</v>
      </c>
      <c r="BC1257" s="94">
        <v>45744.048611111109</v>
      </c>
      <c r="BD1257" s="94">
        <v>45744.172222222223</v>
      </c>
      <c r="BE1257" s="95">
        <f t="shared" si="754"/>
        <v>0.13055555555911269</v>
      </c>
      <c r="BF1257" s="95">
        <v>0</v>
      </c>
      <c r="BG1257" s="95">
        <v>0</v>
      </c>
      <c r="BH1257" s="95">
        <f t="shared" si="755"/>
        <v>6.9444444452528842E-3</v>
      </c>
      <c r="BI1257" s="95">
        <f t="shared" si="755"/>
        <v>0</v>
      </c>
      <c r="BJ1257" s="95">
        <f t="shared" si="755"/>
        <v>0.12361111111385981</v>
      </c>
      <c r="BK1257" s="95">
        <f t="shared" si="772"/>
        <v>0.12361111111385981</v>
      </c>
      <c r="BL1257" s="95">
        <f t="shared" si="773"/>
        <v>0.12361111111385981</v>
      </c>
      <c r="BM1257" s="95" t="str">
        <f t="shared" si="774"/>
        <v>00:00</v>
      </c>
      <c r="BN1257" s="110"/>
    </row>
    <row r="1258" spans="1:66" s="8" customFormat="1" ht="12.75" customHeight="1" x14ac:dyDescent="0.25">
      <c r="A1258" s="150">
        <v>1157</v>
      </c>
      <c r="B1258" s="150">
        <v>91</v>
      </c>
      <c r="C1258" s="90">
        <v>8</v>
      </c>
      <c r="D1258" s="111" t="s">
        <v>148</v>
      </c>
      <c r="E1258" s="210" t="s">
        <v>1184</v>
      </c>
      <c r="F1258" s="150" t="s">
        <v>16</v>
      </c>
      <c r="G1258" s="150" t="s">
        <v>17</v>
      </c>
      <c r="H1258" s="150" t="s">
        <v>150</v>
      </c>
      <c r="I1258" s="150" t="s">
        <v>1196</v>
      </c>
      <c r="J1258" s="151">
        <v>45743</v>
      </c>
      <c r="K1258" s="135" t="s">
        <v>122</v>
      </c>
      <c r="L1258" s="135">
        <v>461000855</v>
      </c>
      <c r="M1258" s="151">
        <v>45744</v>
      </c>
      <c r="N1258" s="152">
        <v>45744.239583333336</v>
      </c>
      <c r="O1258" s="152">
        <v>45744.239583333336</v>
      </c>
      <c r="P1258" s="152">
        <v>45744.243055555555</v>
      </c>
      <c r="Q1258" s="152">
        <v>45744.4375</v>
      </c>
      <c r="R1258" s="152" t="s">
        <v>118</v>
      </c>
      <c r="S1258" s="152" t="s">
        <v>118</v>
      </c>
      <c r="T1258" s="152">
        <v>45744.479166666664</v>
      </c>
      <c r="U1258" s="152">
        <v>45744.600694444445</v>
      </c>
      <c r="V1258" s="219">
        <f t="shared" si="768"/>
        <v>0.19791666666424135</v>
      </c>
      <c r="W1258" s="203">
        <v>0.20833333333333334</v>
      </c>
      <c r="X1258" s="219" t="str">
        <f t="shared" si="769"/>
        <v>00:00</v>
      </c>
      <c r="Y1258" s="96">
        <v>0</v>
      </c>
      <c r="Z1258" s="96">
        <v>58</v>
      </c>
      <c r="AA1258" s="96">
        <f t="shared" si="759"/>
        <v>58</v>
      </c>
      <c r="AB1258" s="97">
        <f t="shared" si="761"/>
        <v>0</v>
      </c>
      <c r="AC1258" s="97">
        <f t="shared" si="762"/>
        <v>4009.3400000000006</v>
      </c>
      <c r="AD1258" s="98">
        <v>4009.34</v>
      </c>
      <c r="AE1258" s="98">
        <v>4024.3</v>
      </c>
      <c r="AF1258" s="98">
        <v>4043</v>
      </c>
      <c r="AG1258" s="98">
        <f t="shared" si="763"/>
        <v>33.659999999999854</v>
      </c>
      <c r="AH1258" s="99">
        <v>672.5</v>
      </c>
      <c r="AI1258" s="100">
        <f t="shared" si="764"/>
        <v>2718917.5</v>
      </c>
      <c r="AJ1258" s="100">
        <f t="shared" si="775"/>
        <v>0</v>
      </c>
      <c r="AK1258" s="100">
        <v>0</v>
      </c>
      <c r="AL1258" s="100">
        <v>24140</v>
      </c>
      <c r="AM1258" s="100">
        <v>0</v>
      </c>
      <c r="AN1258" s="100">
        <v>0</v>
      </c>
      <c r="AO1258" s="100">
        <v>0</v>
      </c>
      <c r="AP1258" s="100">
        <f t="shared" si="767"/>
        <v>137153</v>
      </c>
      <c r="AQ1258" s="101">
        <f t="shared" si="748"/>
        <v>2880211</v>
      </c>
      <c r="AR1258" s="101">
        <v>0</v>
      </c>
      <c r="AS1258" s="101">
        <v>0</v>
      </c>
      <c r="AT1258" s="102" t="s">
        <v>33</v>
      </c>
      <c r="AU1258" s="109">
        <v>7</v>
      </c>
      <c r="AV1258" s="100">
        <f>21.18-16.68</f>
        <v>4.5</v>
      </c>
      <c r="AW1258" s="105">
        <v>0</v>
      </c>
      <c r="AX1258" s="216">
        <f t="shared" si="770"/>
        <v>0.83255008656937557</v>
      </c>
      <c r="AY1258" s="217">
        <f t="shared" si="771"/>
        <v>22637</v>
      </c>
      <c r="AZ1258" s="107"/>
      <c r="BA1258" s="94">
        <v>45744.239583333336</v>
      </c>
      <c r="BB1258" s="94">
        <v>45744.243055555555</v>
      </c>
      <c r="BC1258" s="94">
        <v>45744.243055555555</v>
      </c>
      <c r="BD1258" s="94">
        <v>45744.361111111109</v>
      </c>
      <c r="BE1258" s="95">
        <f t="shared" si="754"/>
        <v>0.12152777777373558</v>
      </c>
      <c r="BF1258" s="95">
        <v>0</v>
      </c>
      <c r="BG1258" s="95">
        <v>0</v>
      </c>
      <c r="BH1258" s="95">
        <f t="shared" si="755"/>
        <v>3.4722222189884633E-3</v>
      </c>
      <c r="BI1258" s="95">
        <f t="shared" si="755"/>
        <v>0</v>
      </c>
      <c r="BJ1258" s="95">
        <f t="shared" si="755"/>
        <v>0.11805555555474712</v>
      </c>
      <c r="BK1258" s="95">
        <f t="shared" si="772"/>
        <v>0.11805555555474712</v>
      </c>
      <c r="BL1258" s="95">
        <f t="shared" si="773"/>
        <v>0.11805555555474712</v>
      </c>
      <c r="BM1258" s="95" t="str">
        <f t="shared" si="774"/>
        <v>00:00</v>
      </c>
      <c r="BN1258" s="110"/>
    </row>
    <row r="1259" spans="1:66" s="8" customFormat="1" ht="12.75" customHeight="1" x14ac:dyDescent="0.25">
      <c r="A1259" s="150">
        <v>1158</v>
      </c>
      <c r="B1259" s="150">
        <v>92</v>
      </c>
      <c r="C1259" s="90">
        <v>5</v>
      </c>
      <c r="D1259" s="111" t="s">
        <v>113</v>
      </c>
      <c r="E1259" s="210" t="s">
        <v>1169</v>
      </c>
      <c r="F1259" s="150" t="s">
        <v>32</v>
      </c>
      <c r="G1259" s="150" t="s">
        <v>15</v>
      </c>
      <c r="H1259" s="150" t="s">
        <v>135</v>
      </c>
      <c r="I1259" s="150" t="s">
        <v>1197</v>
      </c>
      <c r="J1259" s="151">
        <v>45744</v>
      </c>
      <c r="K1259" s="135" t="s">
        <v>117</v>
      </c>
      <c r="L1259" s="135">
        <v>261006275</v>
      </c>
      <c r="M1259" s="151">
        <v>45744</v>
      </c>
      <c r="N1259" s="152">
        <v>45744.458333333336</v>
      </c>
      <c r="O1259" s="152">
        <v>45744.458333333336</v>
      </c>
      <c r="P1259" s="152">
        <v>45744.46875</v>
      </c>
      <c r="Q1259" s="152">
        <v>45744.65625</v>
      </c>
      <c r="R1259" s="152" t="s">
        <v>118</v>
      </c>
      <c r="S1259" s="152" t="s">
        <v>118</v>
      </c>
      <c r="T1259" s="152">
        <v>45744.6875</v>
      </c>
      <c r="U1259" s="152">
        <v>45744.755555555559</v>
      </c>
      <c r="V1259" s="219">
        <f t="shared" si="768"/>
        <v>0.19791666666424135</v>
      </c>
      <c r="W1259" s="203">
        <v>0.20833333333333334</v>
      </c>
      <c r="X1259" s="219" t="str">
        <f t="shared" si="769"/>
        <v>00:00</v>
      </c>
      <c r="Y1259" s="96">
        <v>2</v>
      </c>
      <c r="Z1259" s="96">
        <v>57</v>
      </c>
      <c r="AA1259" s="96">
        <f t="shared" si="759"/>
        <v>59</v>
      </c>
      <c r="AB1259" s="97">
        <f t="shared" si="761"/>
        <v>134.08610169491524</v>
      </c>
      <c r="AC1259" s="97">
        <f t="shared" si="762"/>
        <v>3821.4538983050843</v>
      </c>
      <c r="AD1259" s="98">
        <v>3955.54</v>
      </c>
      <c r="AE1259" s="98">
        <v>4124.2</v>
      </c>
      <c r="AF1259" s="98">
        <v>4124.2</v>
      </c>
      <c r="AG1259" s="98">
        <f t="shared" si="763"/>
        <v>168.65999999999985</v>
      </c>
      <c r="AH1259" s="99">
        <v>797.2</v>
      </c>
      <c r="AI1259" s="100">
        <f t="shared" si="764"/>
        <v>3287812.24</v>
      </c>
      <c r="AJ1259" s="100">
        <f t="shared" si="775"/>
        <v>0</v>
      </c>
      <c r="AK1259" s="100">
        <v>0</v>
      </c>
      <c r="AL1259" s="100">
        <v>0</v>
      </c>
      <c r="AM1259" s="100">
        <v>0</v>
      </c>
      <c r="AN1259" s="100">
        <v>0</v>
      </c>
      <c r="AO1259" s="100">
        <v>0</v>
      </c>
      <c r="AP1259" s="100">
        <f t="shared" si="767"/>
        <v>164391</v>
      </c>
      <c r="AQ1259" s="101">
        <f t="shared" ref="AQ1259:AQ1274" si="776">ROUNDUP(SUM(AI1259:AP1259),0)</f>
        <v>3452204</v>
      </c>
      <c r="AR1259" s="101">
        <v>0</v>
      </c>
      <c r="AS1259" s="101">
        <v>0</v>
      </c>
      <c r="AT1259" s="102" t="s">
        <v>33</v>
      </c>
      <c r="AU1259" s="109" t="s">
        <v>118</v>
      </c>
      <c r="AV1259" s="100">
        <v>0</v>
      </c>
      <c r="AW1259" s="105">
        <v>0</v>
      </c>
      <c r="AX1259" s="216">
        <f t="shared" si="770"/>
        <v>4.0895203918335641</v>
      </c>
      <c r="AY1259" s="217">
        <f t="shared" si="771"/>
        <v>134456</v>
      </c>
      <c r="AZ1259" s="107"/>
      <c r="BA1259" s="94">
        <v>45744.458333333336</v>
      </c>
      <c r="BB1259" s="94">
        <v>45744.46875</v>
      </c>
      <c r="BC1259" s="94">
        <v>45744.46875</v>
      </c>
      <c r="BD1259" s="94">
        <v>45744.615972222222</v>
      </c>
      <c r="BE1259" s="95">
        <f t="shared" si="754"/>
        <v>0.15763888888614019</v>
      </c>
      <c r="BF1259" s="95">
        <v>0</v>
      </c>
      <c r="BG1259" s="95">
        <v>3.6111111111111108E-2</v>
      </c>
      <c r="BH1259" s="95">
        <f t="shared" si="755"/>
        <v>1.0416666664241347E-2</v>
      </c>
      <c r="BI1259" s="95">
        <f t="shared" si="755"/>
        <v>0</v>
      </c>
      <c r="BJ1259" s="95">
        <f t="shared" si="755"/>
        <v>0.14722222222189885</v>
      </c>
      <c r="BK1259" s="95">
        <f t="shared" si="772"/>
        <v>0.14722222222189885</v>
      </c>
      <c r="BL1259" s="95">
        <f t="shared" si="773"/>
        <v>0.11111111111078774</v>
      </c>
      <c r="BM1259" s="95" t="str">
        <f t="shared" si="774"/>
        <v>00:00</v>
      </c>
      <c r="BN1259" s="110"/>
    </row>
    <row r="1260" spans="1:66" s="8" customFormat="1" ht="12.75" customHeight="1" x14ac:dyDescent="0.25">
      <c r="A1260" s="150">
        <v>1159</v>
      </c>
      <c r="B1260" s="150">
        <v>93</v>
      </c>
      <c r="C1260" s="90">
        <v>9</v>
      </c>
      <c r="D1260" s="111" t="s">
        <v>148</v>
      </c>
      <c r="E1260" s="210" t="s">
        <v>1184</v>
      </c>
      <c r="F1260" s="150" t="s">
        <v>16</v>
      </c>
      <c r="G1260" s="150" t="s">
        <v>17</v>
      </c>
      <c r="H1260" s="150" t="s">
        <v>150</v>
      </c>
      <c r="I1260" s="150" t="s">
        <v>1198</v>
      </c>
      <c r="J1260" s="151">
        <v>45743</v>
      </c>
      <c r="K1260" s="135" t="s">
        <v>122</v>
      </c>
      <c r="L1260" s="135">
        <v>461000856</v>
      </c>
      <c r="M1260" s="151">
        <v>45745</v>
      </c>
      <c r="N1260" s="152">
        <v>45744.677083333336</v>
      </c>
      <c r="O1260" s="152">
        <v>45744.677083333336</v>
      </c>
      <c r="P1260" s="152">
        <v>45744.680555555555</v>
      </c>
      <c r="Q1260" s="152">
        <v>45744.833333333336</v>
      </c>
      <c r="R1260" s="152" t="s">
        <v>118</v>
      </c>
      <c r="S1260" s="152" t="s">
        <v>118</v>
      </c>
      <c r="T1260" s="152">
        <v>45744.854166666664</v>
      </c>
      <c r="U1260" s="152">
        <v>45744.986111111109</v>
      </c>
      <c r="V1260" s="219">
        <f t="shared" si="768"/>
        <v>0.15625</v>
      </c>
      <c r="W1260" s="203">
        <v>0.20833333333333334</v>
      </c>
      <c r="X1260" s="219" t="str">
        <f t="shared" si="769"/>
        <v>00:00</v>
      </c>
      <c r="Y1260" s="96">
        <v>0</v>
      </c>
      <c r="Z1260" s="96">
        <v>58</v>
      </c>
      <c r="AA1260" s="96">
        <f t="shared" si="759"/>
        <v>58</v>
      </c>
      <c r="AB1260" s="97">
        <f t="shared" si="761"/>
        <v>0</v>
      </c>
      <c r="AC1260" s="97">
        <f t="shared" si="762"/>
        <v>4031.9500000000003</v>
      </c>
      <c r="AD1260" s="98">
        <v>4031.95</v>
      </c>
      <c r="AE1260" s="98">
        <v>4043.6</v>
      </c>
      <c r="AF1260" s="98">
        <v>4057.6</v>
      </c>
      <c r="AG1260" s="98">
        <f t="shared" si="763"/>
        <v>25.650000000000091</v>
      </c>
      <c r="AH1260" s="99">
        <v>672.5</v>
      </c>
      <c r="AI1260" s="100">
        <f t="shared" si="764"/>
        <v>2728736</v>
      </c>
      <c r="AJ1260" s="100">
        <f t="shared" si="775"/>
        <v>0</v>
      </c>
      <c r="AK1260" s="100">
        <v>0</v>
      </c>
      <c r="AL1260" s="100">
        <v>24140</v>
      </c>
      <c r="AM1260" s="100">
        <v>0</v>
      </c>
      <c r="AN1260" s="100">
        <v>0</v>
      </c>
      <c r="AO1260" s="100">
        <v>0</v>
      </c>
      <c r="AP1260" s="100">
        <f t="shared" si="767"/>
        <v>137644</v>
      </c>
      <c r="AQ1260" s="101">
        <f t="shared" si="776"/>
        <v>2890520</v>
      </c>
      <c r="AR1260" s="101">
        <v>0</v>
      </c>
      <c r="AS1260" s="101">
        <v>0</v>
      </c>
      <c r="AT1260" s="102" t="s">
        <v>33</v>
      </c>
      <c r="AU1260" s="109">
        <v>4</v>
      </c>
      <c r="AV1260" s="100">
        <f>15.34-12.84</f>
        <v>2.5</v>
      </c>
      <c r="AW1260" s="105">
        <v>0</v>
      </c>
      <c r="AX1260" s="216">
        <f t="shared" si="770"/>
        <v>0.63214708201892966</v>
      </c>
      <c r="AY1260" s="217">
        <f t="shared" si="771"/>
        <v>17250</v>
      </c>
      <c r="AZ1260" s="107"/>
      <c r="BA1260" s="94">
        <v>45744.677083333336</v>
      </c>
      <c r="BB1260" s="94">
        <v>45744.680555555555</v>
      </c>
      <c r="BC1260" s="94">
        <v>45744.680555555555</v>
      </c>
      <c r="BD1260" s="94">
        <v>45744.794444444444</v>
      </c>
      <c r="BE1260" s="95">
        <f t="shared" si="754"/>
        <v>0.11736111110803904</v>
      </c>
      <c r="BF1260" s="95">
        <v>0</v>
      </c>
      <c r="BG1260" s="95">
        <v>0</v>
      </c>
      <c r="BH1260" s="95">
        <f t="shared" si="755"/>
        <v>3.4722222189884633E-3</v>
      </c>
      <c r="BI1260" s="95">
        <f t="shared" si="755"/>
        <v>0</v>
      </c>
      <c r="BJ1260" s="95">
        <f t="shared" si="755"/>
        <v>0.11388888888905058</v>
      </c>
      <c r="BK1260" s="95">
        <f t="shared" si="772"/>
        <v>0.11388888888905058</v>
      </c>
      <c r="BL1260" s="95">
        <f t="shared" si="773"/>
        <v>0.11388888888905058</v>
      </c>
      <c r="BM1260" s="95" t="str">
        <f t="shared" si="774"/>
        <v>00:00</v>
      </c>
      <c r="BN1260" s="110"/>
    </row>
    <row r="1261" spans="1:66" s="8" customFormat="1" ht="12.75" customHeight="1" x14ac:dyDescent="0.25">
      <c r="A1261" s="150">
        <v>1160</v>
      </c>
      <c r="B1261" s="150">
        <v>94</v>
      </c>
      <c r="C1261" s="90">
        <v>10</v>
      </c>
      <c r="D1261" s="111" t="s">
        <v>148</v>
      </c>
      <c r="E1261" s="210" t="s">
        <v>1184</v>
      </c>
      <c r="F1261" s="150" t="s">
        <v>16</v>
      </c>
      <c r="G1261" s="150" t="s">
        <v>17</v>
      </c>
      <c r="H1261" s="150" t="s">
        <v>150</v>
      </c>
      <c r="I1261" s="150" t="s">
        <v>1199</v>
      </c>
      <c r="J1261" s="151">
        <v>45743</v>
      </c>
      <c r="K1261" s="135" t="s">
        <v>117</v>
      </c>
      <c r="L1261" s="135">
        <v>461000857</v>
      </c>
      <c r="M1261" s="151">
        <v>45745</v>
      </c>
      <c r="N1261" s="152">
        <v>45744.822916666664</v>
      </c>
      <c r="O1261" s="152">
        <v>45744.822916666664</v>
      </c>
      <c r="P1261" s="152">
        <v>45744.836805555555</v>
      </c>
      <c r="Q1261" s="152">
        <v>45744.96875</v>
      </c>
      <c r="R1261" s="152" t="s">
        <v>118</v>
      </c>
      <c r="S1261" s="152" t="s">
        <v>118</v>
      </c>
      <c r="T1261" s="152">
        <v>45744.979166666664</v>
      </c>
      <c r="U1261" s="152">
        <v>45745.104166666664</v>
      </c>
      <c r="V1261" s="219">
        <f t="shared" si="768"/>
        <v>0.14583333333575865</v>
      </c>
      <c r="W1261" s="203">
        <v>0.20833333333333334</v>
      </c>
      <c r="X1261" s="219" t="str">
        <f t="shared" si="769"/>
        <v>00:00</v>
      </c>
      <c r="Y1261" s="96">
        <v>0</v>
      </c>
      <c r="Z1261" s="96">
        <v>58</v>
      </c>
      <c r="AA1261" s="96">
        <f t="shared" si="759"/>
        <v>58</v>
      </c>
      <c r="AB1261" s="97">
        <f t="shared" si="761"/>
        <v>0</v>
      </c>
      <c r="AC1261" s="97">
        <f t="shared" si="762"/>
        <v>4026.8200000000006</v>
      </c>
      <c r="AD1261" s="98">
        <v>4026.82</v>
      </c>
      <c r="AE1261" s="98">
        <v>4033.2</v>
      </c>
      <c r="AF1261" s="98">
        <v>4052.2</v>
      </c>
      <c r="AG1261" s="98">
        <f t="shared" si="763"/>
        <v>25.379999999999654</v>
      </c>
      <c r="AH1261" s="99">
        <v>672.5</v>
      </c>
      <c r="AI1261" s="100">
        <f t="shared" si="764"/>
        <v>2725104.5</v>
      </c>
      <c r="AJ1261" s="100">
        <f t="shared" si="775"/>
        <v>0</v>
      </c>
      <c r="AK1261" s="100">
        <v>0</v>
      </c>
      <c r="AL1261" s="100">
        <v>24140</v>
      </c>
      <c r="AM1261" s="100">
        <v>0</v>
      </c>
      <c r="AN1261" s="100">
        <v>0</v>
      </c>
      <c r="AO1261" s="100">
        <v>0</v>
      </c>
      <c r="AP1261" s="100">
        <f t="shared" si="767"/>
        <v>137463</v>
      </c>
      <c r="AQ1261" s="101">
        <f t="shared" si="776"/>
        <v>2886708</v>
      </c>
      <c r="AR1261" s="101">
        <v>0</v>
      </c>
      <c r="AS1261" s="101">
        <v>0</v>
      </c>
      <c r="AT1261" s="102" t="s">
        <v>33</v>
      </c>
      <c r="AU1261" s="109">
        <v>7</v>
      </c>
      <c r="AV1261" s="100">
        <f>22-17</f>
        <v>5</v>
      </c>
      <c r="AW1261" s="105">
        <v>0</v>
      </c>
      <c r="AX1261" s="216">
        <f t="shared" si="770"/>
        <v>0.62632643995853254</v>
      </c>
      <c r="AY1261" s="217">
        <f t="shared" si="771"/>
        <v>17069</v>
      </c>
      <c r="AZ1261" s="107"/>
      <c r="BA1261" s="94">
        <v>45744.822916666664</v>
      </c>
      <c r="BB1261" s="94">
        <v>45744.836805555555</v>
      </c>
      <c r="BC1261" s="94">
        <v>45744.836805555555</v>
      </c>
      <c r="BD1261" s="94">
        <v>45744.952777777777</v>
      </c>
      <c r="BE1261" s="95">
        <f t="shared" si="754"/>
        <v>0.12986111111240461</v>
      </c>
      <c r="BF1261" s="95">
        <v>0</v>
      </c>
      <c r="BG1261" s="95">
        <v>0</v>
      </c>
      <c r="BH1261" s="95">
        <f t="shared" si="755"/>
        <v>1.3888888890505768E-2</v>
      </c>
      <c r="BI1261" s="95">
        <f t="shared" si="755"/>
        <v>0</v>
      </c>
      <c r="BJ1261" s="95">
        <f t="shared" si="755"/>
        <v>0.11597222222189885</v>
      </c>
      <c r="BK1261" s="95">
        <f t="shared" si="772"/>
        <v>0.11597222222189885</v>
      </c>
      <c r="BL1261" s="95">
        <f t="shared" si="773"/>
        <v>0.11597222222189885</v>
      </c>
      <c r="BM1261" s="95" t="str">
        <f t="shared" si="774"/>
        <v>00:00</v>
      </c>
      <c r="BN1261" s="110"/>
    </row>
    <row r="1262" spans="1:66" s="8" customFormat="1" ht="12.75" customHeight="1" x14ac:dyDescent="0.25">
      <c r="A1262" s="150">
        <v>1161</v>
      </c>
      <c r="B1262" s="150">
        <v>95</v>
      </c>
      <c r="C1262" s="90">
        <v>11</v>
      </c>
      <c r="D1262" s="111" t="s">
        <v>148</v>
      </c>
      <c r="E1262" s="210" t="s">
        <v>1184</v>
      </c>
      <c r="F1262" s="150" t="s">
        <v>16</v>
      </c>
      <c r="G1262" s="150" t="s">
        <v>17</v>
      </c>
      <c r="H1262" s="150" t="s">
        <v>150</v>
      </c>
      <c r="I1262" s="150" t="s">
        <v>1200</v>
      </c>
      <c r="J1262" s="151">
        <v>45743</v>
      </c>
      <c r="K1262" s="135" t="s">
        <v>122</v>
      </c>
      <c r="L1262" s="135">
        <v>461000858</v>
      </c>
      <c r="M1262" s="151">
        <v>45745</v>
      </c>
      <c r="N1262" s="152">
        <v>45745.041666666664</v>
      </c>
      <c r="O1262" s="152">
        <v>45745.041666666664</v>
      </c>
      <c r="P1262" s="152">
        <v>45745.045138888891</v>
      </c>
      <c r="Q1262" s="152">
        <v>45745.229166666664</v>
      </c>
      <c r="R1262" s="152" t="s">
        <v>118</v>
      </c>
      <c r="S1262" s="152" t="s">
        <v>118</v>
      </c>
      <c r="T1262" s="152">
        <v>45745.270833333336</v>
      </c>
      <c r="U1262" s="152">
        <v>45745.454861111109</v>
      </c>
      <c r="V1262" s="219">
        <f t="shared" si="768"/>
        <v>0.1875</v>
      </c>
      <c r="W1262" s="203">
        <v>0.20833333333333334</v>
      </c>
      <c r="X1262" s="219" t="str">
        <f t="shared" si="769"/>
        <v>00:00</v>
      </c>
      <c r="Y1262" s="96">
        <v>0</v>
      </c>
      <c r="Z1262" s="96">
        <v>58</v>
      </c>
      <c r="AA1262" s="96">
        <f t="shared" si="759"/>
        <v>58</v>
      </c>
      <c r="AB1262" s="97">
        <f t="shared" si="761"/>
        <v>0</v>
      </c>
      <c r="AC1262" s="97">
        <f t="shared" si="762"/>
        <v>4024.2000000000003</v>
      </c>
      <c r="AD1262" s="98">
        <v>4024.2</v>
      </c>
      <c r="AE1262" s="98">
        <v>4018.9</v>
      </c>
      <c r="AF1262" s="98">
        <v>4044.4</v>
      </c>
      <c r="AG1262" s="98">
        <f t="shared" si="763"/>
        <v>20.200000000000273</v>
      </c>
      <c r="AH1262" s="99">
        <v>672.5</v>
      </c>
      <c r="AI1262" s="100">
        <f t="shared" si="764"/>
        <v>2719859</v>
      </c>
      <c r="AJ1262" s="100">
        <f t="shared" si="775"/>
        <v>0</v>
      </c>
      <c r="AK1262" s="100">
        <v>0</v>
      </c>
      <c r="AL1262" s="100">
        <v>24140</v>
      </c>
      <c r="AM1262" s="100">
        <v>0</v>
      </c>
      <c r="AN1262" s="100">
        <v>0</v>
      </c>
      <c r="AO1262" s="100">
        <v>0</v>
      </c>
      <c r="AP1262" s="100">
        <f t="shared" si="767"/>
        <v>137200</v>
      </c>
      <c r="AQ1262" s="101">
        <f t="shared" si="776"/>
        <v>2881199</v>
      </c>
      <c r="AR1262" s="101">
        <v>0</v>
      </c>
      <c r="AS1262" s="101">
        <v>0</v>
      </c>
      <c r="AT1262" s="102" t="s">
        <v>33</v>
      </c>
      <c r="AU1262" s="109">
        <v>14</v>
      </c>
      <c r="AV1262" s="100">
        <f>29.41-21.41</f>
        <v>8</v>
      </c>
      <c r="AW1262" s="105">
        <v>0</v>
      </c>
      <c r="AX1262" s="216">
        <f t="shared" si="770"/>
        <v>0.49945603797844601</v>
      </c>
      <c r="AY1262" s="217">
        <f t="shared" si="771"/>
        <v>13585</v>
      </c>
      <c r="AZ1262" s="107"/>
      <c r="BA1262" s="94">
        <v>45745.041666666664</v>
      </c>
      <c r="BB1262" s="94">
        <v>45745.045138888891</v>
      </c>
      <c r="BC1262" s="94">
        <v>45745.045138888891</v>
      </c>
      <c r="BD1262" s="94">
        <v>45745.160416666666</v>
      </c>
      <c r="BE1262" s="95">
        <f t="shared" si="754"/>
        <v>0.11875000000145519</v>
      </c>
      <c r="BF1262" s="95">
        <v>0</v>
      </c>
      <c r="BG1262" s="95">
        <v>0</v>
      </c>
      <c r="BH1262" s="95">
        <f t="shared" si="755"/>
        <v>3.4722222262644209E-3</v>
      </c>
      <c r="BI1262" s="95">
        <f t="shared" si="755"/>
        <v>0</v>
      </c>
      <c r="BJ1262" s="95">
        <f t="shared" si="755"/>
        <v>0.11527777777519077</v>
      </c>
      <c r="BK1262" s="95">
        <f t="shared" si="772"/>
        <v>0.11527777777519077</v>
      </c>
      <c r="BL1262" s="95">
        <f t="shared" si="773"/>
        <v>0.11527777777519077</v>
      </c>
      <c r="BM1262" s="95" t="str">
        <f t="shared" si="774"/>
        <v>00:00</v>
      </c>
      <c r="BN1262" s="110"/>
    </row>
    <row r="1263" spans="1:66" s="8" customFormat="1" ht="12.75" customHeight="1" x14ac:dyDescent="0.25">
      <c r="A1263" s="150">
        <v>1162</v>
      </c>
      <c r="B1263" s="150">
        <v>96</v>
      </c>
      <c r="C1263" s="90">
        <v>12</v>
      </c>
      <c r="D1263" s="111" t="s">
        <v>148</v>
      </c>
      <c r="E1263" s="210" t="s">
        <v>1184</v>
      </c>
      <c r="F1263" s="150" t="s">
        <v>16</v>
      </c>
      <c r="G1263" s="150" t="s">
        <v>17</v>
      </c>
      <c r="H1263" s="150" t="s">
        <v>150</v>
      </c>
      <c r="I1263" s="150" t="s">
        <v>1201</v>
      </c>
      <c r="J1263" s="151">
        <v>45743</v>
      </c>
      <c r="K1263" s="135" t="s">
        <v>117</v>
      </c>
      <c r="L1263" s="135">
        <v>461000859</v>
      </c>
      <c r="M1263" s="151">
        <v>45745</v>
      </c>
      <c r="N1263" s="152">
        <v>45745.25</v>
      </c>
      <c r="O1263" s="152">
        <v>45745.25</v>
      </c>
      <c r="P1263" s="152">
        <v>45745.253472222219</v>
      </c>
      <c r="Q1263" s="152">
        <v>45745.447916666664</v>
      </c>
      <c r="R1263" s="152" t="s">
        <v>118</v>
      </c>
      <c r="S1263" s="152" t="s">
        <v>118</v>
      </c>
      <c r="T1263" s="152">
        <v>45745.479166666664</v>
      </c>
      <c r="U1263" s="152">
        <v>45745.607638888891</v>
      </c>
      <c r="V1263" s="219">
        <f t="shared" si="768"/>
        <v>0.19791666666424135</v>
      </c>
      <c r="W1263" s="203">
        <v>0.20833333333333334</v>
      </c>
      <c r="X1263" s="219" t="str">
        <f t="shared" si="769"/>
        <v>00:00</v>
      </c>
      <c r="Y1263" s="96">
        <v>0</v>
      </c>
      <c r="Z1263" s="96">
        <v>58</v>
      </c>
      <c r="AA1263" s="96">
        <f t="shared" si="759"/>
        <v>58</v>
      </c>
      <c r="AB1263" s="97">
        <f t="shared" si="761"/>
        <v>0</v>
      </c>
      <c r="AC1263" s="97">
        <f t="shared" si="762"/>
        <v>3993.6700000000005</v>
      </c>
      <c r="AD1263" s="98">
        <v>3993.67</v>
      </c>
      <c r="AE1263" s="98">
        <v>4027.9</v>
      </c>
      <c r="AF1263" s="98">
        <v>4038</v>
      </c>
      <c r="AG1263" s="98">
        <f t="shared" si="763"/>
        <v>44.329999999999927</v>
      </c>
      <c r="AH1263" s="99">
        <v>672.5</v>
      </c>
      <c r="AI1263" s="100">
        <f t="shared" si="764"/>
        <v>2715555</v>
      </c>
      <c r="AJ1263" s="100">
        <f t="shared" si="775"/>
        <v>0</v>
      </c>
      <c r="AK1263" s="100">
        <v>0</v>
      </c>
      <c r="AL1263" s="100">
        <v>24140</v>
      </c>
      <c r="AM1263" s="100">
        <v>0</v>
      </c>
      <c r="AN1263" s="100">
        <v>0</v>
      </c>
      <c r="AO1263" s="100">
        <v>0</v>
      </c>
      <c r="AP1263" s="100">
        <f t="shared" si="767"/>
        <v>136985</v>
      </c>
      <c r="AQ1263" s="101">
        <f t="shared" si="776"/>
        <v>2876680</v>
      </c>
      <c r="AR1263" s="101">
        <v>0</v>
      </c>
      <c r="AS1263" s="101">
        <v>0</v>
      </c>
      <c r="AT1263" s="102" t="s">
        <v>33</v>
      </c>
      <c r="AU1263" s="109">
        <v>8</v>
      </c>
      <c r="AV1263" s="100">
        <f>12.48-7.98</f>
        <v>4.5</v>
      </c>
      <c r="AW1263" s="105">
        <v>0</v>
      </c>
      <c r="AX1263" s="216">
        <f t="shared" si="770"/>
        <v>1.0978207033184726</v>
      </c>
      <c r="AY1263" s="217">
        <f t="shared" si="771"/>
        <v>29812</v>
      </c>
      <c r="AZ1263" s="107"/>
      <c r="BA1263" s="94">
        <v>45745.25</v>
      </c>
      <c r="BB1263" s="94">
        <v>45745.253472222219</v>
      </c>
      <c r="BC1263" s="94">
        <v>45745.253472222219</v>
      </c>
      <c r="BD1263" s="94">
        <v>45745.378472222219</v>
      </c>
      <c r="BE1263" s="95">
        <f t="shared" si="754"/>
        <v>0.12847222221898846</v>
      </c>
      <c r="BF1263" s="95">
        <v>0</v>
      </c>
      <c r="BG1263" s="95">
        <v>0</v>
      </c>
      <c r="BH1263" s="95">
        <f t="shared" si="755"/>
        <v>3.4722222189884633E-3</v>
      </c>
      <c r="BI1263" s="95">
        <f t="shared" si="755"/>
        <v>0</v>
      </c>
      <c r="BJ1263" s="95">
        <f t="shared" si="755"/>
        <v>0.125</v>
      </c>
      <c r="BK1263" s="95">
        <f t="shared" si="772"/>
        <v>0.125</v>
      </c>
      <c r="BL1263" s="95">
        <f t="shared" si="773"/>
        <v>0.125</v>
      </c>
      <c r="BM1263" s="95" t="str">
        <f t="shared" si="774"/>
        <v>00:00</v>
      </c>
      <c r="BN1263" s="110"/>
    </row>
    <row r="1264" spans="1:66" s="8" customFormat="1" ht="12.75" customHeight="1" x14ac:dyDescent="0.25">
      <c r="A1264" s="150">
        <v>1163</v>
      </c>
      <c r="B1264" s="150">
        <v>97</v>
      </c>
      <c r="C1264" s="90">
        <v>13</v>
      </c>
      <c r="D1264" s="111" t="s">
        <v>148</v>
      </c>
      <c r="E1264" s="210" t="s">
        <v>1184</v>
      </c>
      <c r="F1264" s="150" t="s">
        <v>16</v>
      </c>
      <c r="G1264" s="150" t="s">
        <v>17</v>
      </c>
      <c r="H1264" s="150" t="s">
        <v>150</v>
      </c>
      <c r="I1264" s="150" t="s">
        <v>1202</v>
      </c>
      <c r="J1264" s="151">
        <v>45743</v>
      </c>
      <c r="K1264" s="135" t="s">
        <v>122</v>
      </c>
      <c r="L1264" s="135">
        <v>461000860</v>
      </c>
      <c r="M1264" s="151">
        <v>45745</v>
      </c>
      <c r="N1264" s="152">
        <v>45745.489583333336</v>
      </c>
      <c r="O1264" s="152">
        <v>45745.489583333336</v>
      </c>
      <c r="P1264" s="152">
        <v>45745.496527777781</v>
      </c>
      <c r="Q1264" s="152">
        <v>45745.697916666664</v>
      </c>
      <c r="R1264" s="152" t="s">
        <v>118</v>
      </c>
      <c r="S1264" s="152" t="s">
        <v>118</v>
      </c>
      <c r="T1264" s="152">
        <v>45745.708333333336</v>
      </c>
      <c r="U1264" s="152">
        <v>45745.806944444441</v>
      </c>
      <c r="V1264" s="219">
        <f t="shared" si="768"/>
        <v>0.20833333332848269</v>
      </c>
      <c r="W1264" s="203">
        <v>0.20833333333333334</v>
      </c>
      <c r="X1264" s="219" t="str">
        <f t="shared" si="769"/>
        <v>00:00</v>
      </c>
      <c r="Y1264" s="96">
        <v>0</v>
      </c>
      <c r="Z1264" s="96">
        <v>59</v>
      </c>
      <c r="AA1264" s="96">
        <f t="shared" si="759"/>
        <v>59</v>
      </c>
      <c r="AB1264" s="97">
        <f t="shared" si="761"/>
        <v>0</v>
      </c>
      <c r="AC1264" s="97">
        <f t="shared" si="762"/>
        <v>4070.37</v>
      </c>
      <c r="AD1264" s="98">
        <v>4070.37</v>
      </c>
      <c r="AE1264" s="98">
        <v>4097.3</v>
      </c>
      <c r="AF1264" s="98">
        <v>4109</v>
      </c>
      <c r="AG1264" s="98">
        <f t="shared" si="763"/>
        <v>38.630000000000109</v>
      </c>
      <c r="AH1264" s="99">
        <v>672.5</v>
      </c>
      <c r="AI1264" s="100">
        <f t="shared" si="764"/>
        <v>2763302.5</v>
      </c>
      <c r="AJ1264" s="100">
        <f>(1*AH1264)*2</f>
        <v>1345</v>
      </c>
      <c r="AK1264" s="100">
        <v>0</v>
      </c>
      <c r="AL1264" s="100">
        <v>0</v>
      </c>
      <c r="AM1264" s="100">
        <v>0</v>
      </c>
      <c r="AN1264" s="100">
        <v>0</v>
      </c>
      <c r="AO1264" s="100">
        <v>0</v>
      </c>
      <c r="AP1264" s="100">
        <f t="shared" si="767"/>
        <v>138233</v>
      </c>
      <c r="AQ1264" s="101">
        <f t="shared" si="776"/>
        <v>2902881</v>
      </c>
      <c r="AR1264" s="101">
        <v>0</v>
      </c>
      <c r="AS1264" s="101">
        <v>0</v>
      </c>
      <c r="AT1264" s="102" t="s">
        <v>33</v>
      </c>
      <c r="AU1264" s="109" t="s">
        <v>118</v>
      </c>
      <c r="AV1264" s="100">
        <v>0</v>
      </c>
      <c r="AW1264" s="105">
        <v>0</v>
      </c>
      <c r="AX1264" s="216">
        <f t="shared" si="770"/>
        <v>0.94013141883670259</v>
      </c>
      <c r="AY1264" s="217">
        <f t="shared" si="771"/>
        <v>25979</v>
      </c>
      <c r="AZ1264" s="107"/>
      <c r="BA1264" s="94">
        <v>45745.489583333336</v>
      </c>
      <c r="BB1264" s="94">
        <v>45745.496527777781</v>
      </c>
      <c r="BC1264" s="94">
        <v>45745.496527777781</v>
      </c>
      <c r="BD1264" s="94">
        <v>45745.62777777778</v>
      </c>
      <c r="BE1264" s="95">
        <f t="shared" si="754"/>
        <v>0.13819444444379769</v>
      </c>
      <c r="BF1264" s="95">
        <v>0</v>
      </c>
      <c r="BG1264" s="95">
        <v>3.472222222222222E-3</v>
      </c>
      <c r="BH1264" s="95">
        <f t="shared" si="755"/>
        <v>6.9444444452528842E-3</v>
      </c>
      <c r="BI1264" s="95">
        <f t="shared" si="755"/>
        <v>0</v>
      </c>
      <c r="BJ1264" s="95">
        <f t="shared" si="755"/>
        <v>0.13124999999854481</v>
      </c>
      <c r="BK1264" s="95">
        <f t="shared" si="772"/>
        <v>0.13124999999854481</v>
      </c>
      <c r="BL1264" s="95">
        <f t="shared" si="773"/>
        <v>0.1277777777763226</v>
      </c>
      <c r="BM1264" s="95" t="str">
        <f t="shared" si="774"/>
        <v>00:00</v>
      </c>
      <c r="BN1264" s="110"/>
    </row>
    <row r="1265" spans="1:66" s="8" customFormat="1" ht="12.75" customHeight="1" x14ac:dyDescent="0.25">
      <c r="A1265" s="115">
        <v>1164</v>
      </c>
      <c r="B1265" s="115">
        <v>98</v>
      </c>
      <c r="C1265" s="90">
        <v>6</v>
      </c>
      <c r="D1265" s="115" t="s">
        <v>113</v>
      </c>
      <c r="E1265" s="210" t="s">
        <v>1169</v>
      </c>
      <c r="F1265" s="150" t="s">
        <v>32</v>
      </c>
      <c r="G1265" s="90" t="s">
        <v>15</v>
      </c>
      <c r="H1265" s="115" t="s">
        <v>779</v>
      </c>
      <c r="I1265" s="115" t="s">
        <v>1203</v>
      </c>
      <c r="J1265" s="117">
        <v>45745</v>
      </c>
      <c r="K1265" s="116" t="s">
        <v>117</v>
      </c>
      <c r="L1265" s="116">
        <v>261006276</v>
      </c>
      <c r="M1265" s="117">
        <v>45746</v>
      </c>
      <c r="N1265" s="118">
        <v>45745.6875</v>
      </c>
      <c r="O1265" s="118">
        <v>45745.6875</v>
      </c>
      <c r="P1265" s="118">
        <v>45745.690972222219</v>
      </c>
      <c r="Q1265" s="118">
        <v>45745.895833333336</v>
      </c>
      <c r="R1265" s="118" t="s">
        <v>118</v>
      </c>
      <c r="S1265" s="118" t="s">
        <v>118</v>
      </c>
      <c r="T1265" s="118">
        <v>45745.958333333336</v>
      </c>
      <c r="U1265" s="118">
        <v>45746.043055555558</v>
      </c>
      <c r="V1265" s="119">
        <f t="shared" si="768"/>
        <v>0.20833333333575865</v>
      </c>
      <c r="W1265" s="185">
        <v>0.20833333333333334</v>
      </c>
      <c r="X1265" s="119">
        <f t="shared" si="769"/>
        <v>2.4253099528692701E-12</v>
      </c>
      <c r="Y1265" s="96">
        <v>0</v>
      </c>
      <c r="Z1265" s="96">
        <v>54.5</v>
      </c>
      <c r="AA1265" s="96">
        <f t="shared" si="759"/>
        <v>54.5</v>
      </c>
      <c r="AB1265" s="97">
        <f t="shared" si="761"/>
        <v>0</v>
      </c>
      <c r="AC1265" s="97">
        <f t="shared" si="762"/>
        <v>3611.2599999999998</v>
      </c>
      <c r="AD1265" s="98">
        <f>3819.78-208.52</f>
        <v>3611.26</v>
      </c>
      <c r="AE1265" s="98">
        <f>4040.8-242.7</f>
        <v>3798.1000000000004</v>
      </c>
      <c r="AF1265" s="98">
        <f>4040.8-242.7</f>
        <v>3798.1000000000004</v>
      </c>
      <c r="AG1265" s="98">
        <f t="shared" si="763"/>
        <v>186.84000000000015</v>
      </c>
      <c r="AH1265" s="99">
        <v>1435.6</v>
      </c>
      <c r="AI1265" s="100">
        <f t="shared" si="764"/>
        <v>5452552.3600000003</v>
      </c>
      <c r="AJ1265" s="100">
        <f t="shared" si="775"/>
        <v>0</v>
      </c>
      <c r="AK1265" s="100">
        <v>0</v>
      </c>
      <c r="AL1265" s="100">
        <v>0</v>
      </c>
      <c r="AM1265" s="100">
        <v>0</v>
      </c>
      <c r="AN1265" s="100">
        <v>0</v>
      </c>
      <c r="AO1265" s="100">
        <v>0</v>
      </c>
      <c r="AP1265" s="100">
        <f>ROUNDUP(SUM(AI1265:AO1265)*5%,0)-1</f>
        <v>272627</v>
      </c>
      <c r="AQ1265" s="101">
        <f>ROUNDUP(SUM(AI1265:AP1265),0)-1</f>
        <v>5725179</v>
      </c>
      <c r="AR1265" s="101">
        <v>0</v>
      </c>
      <c r="AS1265" s="101">
        <v>0</v>
      </c>
      <c r="AT1265" s="137" t="s">
        <v>33</v>
      </c>
      <c r="AU1265" s="120" t="s">
        <v>118</v>
      </c>
      <c r="AV1265" s="121">
        <v>0</v>
      </c>
      <c r="AW1265" s="105">
        <v>0</v>
      </c>
      <c r="AX1265" s="140">
        <f>IFERROR(((AG1265+AG1266)/(AF1265+AF1266))*100, "")</f>
        <v>5.469708968521088</v>
      </c>
      <c r="AY1265" s="141">
        <f>ROUNDUP((AG1265+AG1266)*AH1265,0)</f>
        <v>317297</v>
      </c>
      <c r="AZ1265" s="107"/>
      <c r="BA1265" s="118">
        <v>45745.6875</v>
      </c>
      <c r="BB1265" s="118">
        <v>45745.690972222219</v>
      </c>
      <c r="BC1265" s="118">
        <v>45745.702777777777</v>
      </c>
      <c r="BD1265" s="118">
        <v>45745.845833333333</v>
      </c>
      <c r="BE1265" s="119">
        <f t="shared" si="754"/>
        <v>0.15833333333284827</v>
      </c>
      <c r="BF1265" s="119">
        <v>0</v>
      </c>
      <c r="BG1265" s="119">
        <v>4.7222222222222221E-2</v>
      </c>
      <c r="BH1265" s="119">
        <f t="shared" si="755"/>
        <v>3.4722222189884633E-3</v>
      </c>
      <c r="BI1265" s="119">
        <f t="shared" si="755"/>
        <v>1.1805555557657499E-2</v>
      </c>
      <c r="BJ1265" s="119">
        <f t="shared" si="755"/>
        <v>0.14305555555620231</v>
      </c>
      <c r="BK1265" s="119">
        <f t="shared" si="772"/>
        <v>0.15486111111385981</v>
      </c>
      <c r="BL1265" s="119">
        <f t="shared" si="773"/>
        <v>0.10763888889163759</v>
      </c>
      <c r="BM1265" s="119" t="str">
        <f t="shared" si="774"/>
        <v>00:00</v>
      </c>
      <c r="BN1265" s="110" t="s">
        <v>1204</v>
      </c>
    </row>
    <row r="1266" spans="1:66" s="8" customFormat="1" ht="12.75" customHeight="1" x14ac:dyDescent="0.25">
      <c r="A1266" s="122"/>
      <c r="B1266" s="122"/>
      <c r="C1266" s="90">
        <v>17</v>
      </c>
      <c r="D1266" s="122"/>
      <c r="E1266" s="210" t="s">
        <v>948</v>
      </c>
      <c r="F1266" s="150" t="s">
        <v>14</v>
      </c>
      <c r="G1266" s="111" t="s">
        <v>15</v>
      </c>
      <c r="H1266" s="122"/>
      <c r="I1266" s="122"/>
      <c r="J1266" s="124"/>
      <c r="K1266" s="123"/>
      <c r="L1266" s="123"/>
      <c r="M1266" s="124"/>
      <c r="N1266" s="125"/>
      <c r="O1266" s="125"/>
      <c r="P1266" s="125"/>
      <c r="Q1266" s="125"/>
      <c r="R1266" s="125"/>
      <c r="S1266" s="125"/>
      <c r="T1266" s="125"/>
      <c r="U1266" s="125"/>
      <c r="V1266" s="126"/>
      <c r="W1266" s="189"/>
      <c r="X1266" s="126"/>
      <c r="Y1266" s="96">
        <v>0</v>
      </c>
      <c r="Z1266" s="96">
        <v>3.5</v>
      </c>
      <c r="AA1266" s="96">
        <f t="shared" si="759"/>
        <v>3.5</v>
      </c>
      <c r="AB1266" s="97">
        <f t="shared" si="761"/>
        <v>0</v>
      </c>
      <c r="AC1266" s="97">
        <f t="shared" si="762"/>
        <v>208.52</v>
      </c>
      <c r="AD1266" s="98">
        <v>208.52</v>
      </c>
      <c r="AE1266" s="98">
        <v>242.7</v>
      </c>
      <c r="AF1266" s="98">
        <v>242.7</v>
      </c>
      <c r="AG1266" s="98">
        <f t="shared" si="763"/>
        <v>34.179999999999978</v>
      </c>
      <c r="AH1266" s="99">
        <v>1435.6</v>
      </c>
      <c r="AI1266" s="100">
        <f t="shared" si="764"/>
        <v>348420.11999999994</v>
      </c>
      <c r="AJ1266" s="100">
        <f t="shared" si="775"/>
        <v>0</v>
      </c>
      <c r="AK1266" s="100">
        <v>0</v>
      </c>
      <c r="AL1266" s="100">
        <v>0</v>
      </c>
      <c r="AM1266" s="100">
        <v>0</v>
      </c>
      <c r="AN1266" s="100">
        <v>0</v>
      </c>
      <c r="AO1266" s="100">
        <v>0</v>
      </c>
      <c r="AP1266" s="100">
        <f t="shared" si="767"/>
        <v>17422</v>
      </c>
      <c r="AQ1266" s="101">
        <f t="shared" si="776"/>
        <v>365843</v>
      </c>
      <c r="AR1266" s="101">
        <v>0</v>
      </c>
      <c r="AS1266" s="101">
        <v>0</v>
      </c>
      <c r="AT1266" s="138"/>
      <c r="AU1266" s="127"/>
      <c r="AV1266" s="128"/>
      <c r="AW1266" s="105">
        <v>0</v>
      </c>
      <c r="AX1266" s="144"/>
      <c r="AY1266" s="145"/>
      <c r="AZ1266" s="107"/>
      <c r="BA1266" s="125"/>
      <c r="BB1266" s="125"/>
      <c r="BC1266" s="125"/>
      <c r="BD1266" s="125"/>
      <c r="BE1266" s="126"/>
      <c r="BF1266" s="126"/>
      <c r="BG1266" s="126"/>
      <c r="BH1266" s="126"/>
      <c r="BI1266" s="126"/>
      <c r="BJ1266" s="126"/>
      <c r="BK1266" s="126"/>
      <c r="BL1266" s="126"/>
      <c r="BM1266" s="126"/>
      <c r="BN1266" s="110" t="s">
        <v>1205</v>
      </c>
    </row>
    <row r="1267" spans="1:66" s="8" customFormat="1" ht="12.75" customHeight="1" x14ac:dyDescent="0.25">
      <c r="A1267" s="150">
        <v>1165</v>
      </c>
      <c r="B1267" s="150">
        <v>99</v>
      </c>
      <c r="C1267" s="90">
        <v>14</v>
      </c>
      <c r="D1267" s="111" t="s">
        <v>148</v>
      </c>
      <c r="E1267" s="210" t="s">
        <v>1184</v>
      </c>
      <c r="F1267" s="150" t="s">
        <v>16</v>
      </c>
      <c r="G1267" s="150" t="s">
        <v>17</v>
      </c>
      <c r="H1267" s="150" t="s">
        <v>150</v>
      </c>
      <c r="I1267" s="150" t="s">
        <v>1206</v>
      </c>
      <c r="J1267" s="151">
        <v>45745</v>
      </c>
      <c r="K1267" s="135" t="s">
        <v>122</v>
      </c>
      <c r="L1267" s="135">
        <v>461000861</v>
      </c>
      <c r="M1267" s="151">
        <v>45746</v>
      </c>
      <c r="N1267" s="152">
        <v>45745.822916666664</v>
      </c>
      <c r="O1267" s="152">
        <v>45745.822916666664</v>
      </c>
      <c r="P1267" s="152">
        <v>45745.833333333336</v>
      </c>
      <c r="Q1267" s="152">
        <v>45745.989583333336</v>
      </c>
      <c r="R1267" s="152" t="s">
        <v>118</v>
      </c>
      <c r="S1267" s="152" t="s">
        <v>118</v>
      </c>
      <c r="T1267" s="152">
        <v>45746.052083333336</v>
      </c>
      <c r="U1267" s="152">
        <v>45746.172222222223</v>
      </c>
      <c r="V1267" s="219">
        <f t="shared" ref="V1267:V1274" si="777">+Q1267-O1267</f>
        <v>0.16666666667151731</v>
      </c>
      <c r="W1267" s="203">
        <v>0.20833333333333334</v>
      </c>
      <c r="X1267" s="219" t="str">
        <f t="shared" ref="X1267:X1274" si="778">IF(VALUE(V1267)&lt;=VALUE("05:00"),"00:00",VALUE(V1267)-VALUE("05:00"))</f>
        <v>00:00</v>
      </c>
      <c r="Y1267" s="96">
        <v>0</v>
      </c>
      <c r="Z1267" s="96">
        <v>58</v>
      </c>
      <c r="AA1267" s="96">
        <f t="shared" si="759"/>
        <v>58</v>
      </c>
      <c r="AB1267" s="97">
        <f t="shared" si="761"/>
        <v>0</v>
      </c>
      <c r="AC1267" s="97">
        <f t="shared" si="762"/>
        <v>3975.7</v>
      </c>
      <c r="AD1267" s="98">
        <v>3975.7</v>
      </c>
      <c r="AE1267" s="98">
        <v>4028.7</v>
      </c>
      <c r="AF1267" s="98">
        <v>4033.6</v>
      </c>
      <c r="AG1267" s="98">
        <f t="shared" si="763"/>
        <v>57.900000000000091</v>
      </c>
      <c r="AH1267" s="99">
        <v>672.5</v>
      </c>
      <c r="AI1267" s="100">
        <f t="shared" si="764"/>
        <v>2712596</v>
      </c>
      <c r="AJ1267" s="100">
        <f>(0.6*AH1267)*2</f>
        <v>807</v>
      </c>
      <c r="AK1267" s="100">
        <v>0</v>
      </c>
      <c r="AL1267" s="100">
        <v>0</v>
      </c>
      <c r="AM1267" s="100">
        <v>0</v>
      </c>
      <c r="AN1267" s="100">
        <v>0</v>
      </c>
      <c r="AO1267" s="100">
        <v>0</v>
      </c>
      <c r="AP1267" s="100">
        <f t="shared" si="767"/>
        <v>135671</v>
      </c>
      <c r="AQ1267" s="101">
        <f t="shared" si="776"/>
        <v>2849074</v>
      </c>
      <c r="AR1267" s="101">
        <v>0</v>
      </c>
      <c r="AS1267" s="101">
        <v>0</v>
      </c>
      <c r="AT1267" s="102" t="s">
        <v>33</v>
      </c>
      <c r="AU1267" s="109" t="s">
        <v>118</v>
      </c>
      <c r="AV1267" s="100">
        <v>0</v>
      </c>
      <c r="AW1267" s="105">
        <v>0</v>
      </c>
      <c r="AX1267" s="216">
        <f t="shared" ref="AX1267:AX1274" si="779">IFERROR((AG1267/AF1267)*100, "")</f>
        <v>1.4354422848076183</v>
      </c>
      <c r="AY1267" s="217">
        <f t="shared" ref="AY1267:AY1274" si="780">ROUNDUP(AG1267*AH1267,0)</f>
        <v>38938</v>
      </c>
      <c r="AZ1267" s="107"/>
      <c r="BA1267" s="94">
        <v>45745.822916666664</v>
      </c>
      <c r="BB1267" s="94">
        <v>45745.833333333336</v>
      </c>
      <c r="BC1267" s="94">
        <v>45745.856249999997</v>
      </c>
      <c r="BD1267" s="94">
        <v>45745.97152777778</v>
      </c>
      <c r="BE1267" s="95">
        <f t="shared" si="754"/>
        <v>0.148611111115315</v>
      </c>
      <c r="BF1267" s="95">
        <v>3.472222222222222E-3</v>
      </c>
      <c r="BG1267" s="95">
        <v>1.9444444444444445E-2</v>
      </c>
      <c r="BH1267" s="95">
        <f t="shared" ref="BH1267:BJ1274" si="781">+BB1267-BA1267</f>
        <v>1.0416666671517305E-2</v>
      </c>
      <c r="BI1267" s="95">
        <f t="shared" si="781"/>
        <v>2.2916666661330964E-2</v>
      </c>
      <c r="BJ1267" s="95">
        <f t="shared" si="781"/>
        <v>0.11527777778246673</v>
      </c>
      <c r="BK1267" s="95">
        <f t="shared" ref="BK1267:BK1274" si="782">+BI1267+BJ1267</f>
        <v>0.13819444444379769</v>
      </c>
      <c r="BL1267" s="95">
        <f t="shared" ref="BL1267:BL1274" si="783">+BE1267-BH1267-BF1267-BG1267</f>
        <v>0.11527777777713104</v>
      </c>
      <c r="BM1267" s="95" t="str">
        <f t="shared" ref="BM1267:BM1274" si="784">IF(VALUE(BE1267)&lt;=VALUE("05:00"),"00:00",VALUE(BE1267)-VALUE("05:00"))</f>
        <v>00:00</v>
      </c>
      <c r="BN1267" s="110"/>
    </row>
    <row r="1268" spans="1:66" s="8" customFormat="1" ht="12.75" customHeight="1" x14ac:dyDescent="0.25">
      <c r="A1268" s="150">
        <v>1166</v>
      </c>
      <c r="B1268" s="150">
        <v>100</v>
      </c>
      <c r="C1268" s="90">
        <v>7</v>
      </c>
      <c r="D1268" s="111" t="s">
        <v>113</v>
      </c>
      <c r="E1268" s="210" t="s">
        <v>1169</v>
      </c>
      <c r="F1268" s="150" t="s">
        <v>32</v>
      </c>
      <c r="G1268" s="150" t="s">
        <v>15</v>
      </c>
      <c r="H1268" s="150" t="s">
        <v>135</v>
      </c>
      <c r="I1268" s="150" t="s">
        <v>1207</v>
      </c>
      <c r="J1268" s="151">
        <v>45745</v>
      </c>
      <c r="K1268" s="135" t="s">
        <v>117</v>
      </c>
      <c r="L1268" s="135">
        <v>261006277</v>
      </c>
      <c r="M1268" s="151">
        <v>45746</v>
      </c>
      <c r="N1268" s="152">
        <v>45746.135416666664</v>
      </c>
      <c r="O1268" s="152">
        <v>45746.135416666664</v>
      </c>
      <c r="P1268" s="152">
        <v>45746.145833333336</v>
      </c>
      <c r="Q1268" s="152">
        <v>45746.333333333336</v>
      </c>
      <c r="R1268" s="152" t="s">
        <v>118</v>
      </c>
      <c r="S1268" s="152" t="s">
        <v>118</v>
      </c>
      <c r="T1268" s="152">
        <v>45746.395833333336</v>
      </c>
      <c r="U1268" s="152">
        <v>45746.496527777781</v>
      </c>
      <c r="V1268" s="219">
        <f t="shared" si="777"/>
        <v>0.19791666667151731</v>
      </c>
      <c r="W1268" s="203">
        <v>0.20833333333333334</v>
      </c>
      <c r="X1268" s="219" t="str">
        <f t="shared" si="778"/>
        <v>00:00</v>
      </c>
      <c r="Y1268" s="96">
        <v>0</v>
      </c>
      <c r="Z1268" s="96">
        <v>58</v>
      </c>
      <c r="AA1268" s="96">
        <f t="shared" si="759"/>
        <v>58</v>
      </c>
      <c r="AB1268" s="97">
        <f t="shared" si="761"/>
        <v>0</v>
      </c>
      <c r="AC1268" s="97">
        <f t="shared" si="762"/>
        <v>3876.7599999999998</v>
      </c>
      <c r="AD1268" s="98">
        <v>3876.76</v>
      </c>
      <c r="AE1268" s="98">
        <v>4036.3</v>
      </c>
      <c r="AF1268" s="98">
        <v>4036.4</v>
      </c>
      <c r="AG1268" s="98">
        <f t="shared" si="763"/>
        <v>159.63999999999987</v>
      </c>
      <c r="AH1268" s="99">
        <v>797.2</v>
      </c>
      <c r="AI1268" s="100">
        <f t="shared" si="764"/>
        <v>3217818.08</v>
      </c>
      <c r="AJ1268" s="100">
        <f t="shared" si="775"/>
        <v>0</v>
      </c>
      <c r="AK1268" s="100">
        <v>0</v>
      </c>
      <c r="AL1268" s="100">
        <v>0</v>
      </c>
      <c r="AM1268" s="100">
        <v>0</v>
      </c>
      <c r="AN1268" s="100">
        <v>0</v>
      </c>
      <c r="AO1268" s="100">
        <v>0</v>
      </c>
      <c r="AP1268" s="100">
        <f t="shared" si="767"/>
        <v>160891</v>
      </c>
      <c r="AQ1268" s="101">
        <f t="shared" si="776"/>
        <v>3378710</v>
      </c>
      <c r="AR1268" s="101">
        <v>0</v>
      </c>
      <c r="AS1268" s="101">
        <v>0</v>
      </c>
      <c r="AT1268" s="102" t="s">
        <v>33</v>
      </c>
      <c r="AU1268" s="109" t="s">
        <v>118</v>
      </c>
      <c r="AV1268" s="100">
        <v>0</v>
      </c>
      <c r="AW1268" s="105">
        <v>0</v>
      </c>
      <c r="AX1268" s="216">
        <f t="shared" si="779"/>
        <v>3.9550094143295973</v>
      </c>
      <c r="AY1268" s="217">
        <f t="shared" si="780"/>
        <v>127266</v>
      </c>
      <c r="AZ1268" s="107"/>
      <c r="BA1268" s="94">
        <v>45746.135416666664</v>
      </c>
      <c r="BB1268" s="94">
        <v>45746.145833333336</v>
      </c>
      <c r="BC1268" s="94">
        <v>45746.145833333336</v>
      </c>
      <c r="BD1268" s="94">
        <v>45746.319444444445</v>
      </c>
      <c r="BE1268" s="95">
        <f t="shared" si="754"/>
        <v>0.18402777778101154</v>
      </c>
      <c r="BF1268" s="95">
        <v>6.9444444444444441E-3</v>
      </c>
      <c r="BG1268" s="95">
        <v>4.4444444444444446E-2</v>
      </c>
      <c r="BH1268" s="95">
        <f t="shared" si="781"/>
        <v>1.0416666671517305E-2</v>
      </c>
      <c r="BI1268" s="95">
        <f t="shared" si="781"/>
        <v>0</v>
      </c>
      <c r="BJ1268" s="95">
        <f t="shared" si="781"/>
        <v>0.17361111110949423</v>
      </c>
      <c r="BK1268" s="95">
        <f t="shared" si="782"/>
        <v>0.17361111110949423</v>
      </c>
      <c r="BL1268" s="95">
        <f t="shared" si="783"/>
        <v>0.12222222222060533</v>
      </c>
      <c r="BM1268" s="95" t="str">
        <f t="shared" si="784"/>
        <v>00:00</v>
      </c>
      <c r="BN1268" s="110"/>
    </row>
    <row r="1269" spans="1:66" s="8" customFormat="1" ht="12.75" customHeight="1" x14ac:dyDescent="0.25">
      <c r="A1269" s="150">
        <v>1167</v>
      </c>
      <c r="B1269" s="150">
        <v>101</v>
      </c>
      <c r="C1269" s="90">
        <v>15</v>
      </c>
      <c r="D1269" s="111" t="s">
        <v>148</v>
      </c>
      <c r="E1269" s="210" t="s">
        <v>1184</v>
      </c>
      <c r="F1269" s="150" t="s">
        <v>16</v>
      </c>
      <c r="G1269" s="150" t="s">
        <v>17</v>
      </c>
      <c r="H1269" s="150" t="s">
        <v>150</v>
      </c>
      <c r="I1269" s="150" t="s">
        <v>1208</v>
      </c>
      <c r="J1269" s="151">
        <v>45745</v>
      </c>
      <c r="K1269" s="135" t="s">
        <v>122</v>
      </c>
      <c r="L1269" s="135">
        <v>461000862</v>
      </c>
      <c r="M1269" s="151">
        <v>45746</v>
      </c>
      <c r="N1269" s="152">
        <v>45746.395833333336</v>
      </c>
      <c r="O1269" s="152">
        <v>45746.395833333336</v>
      </c>
      <c r="P1269" s="152">
        <v>45746.409722222219</v>
      </c>
      <c r="Q1269" s="152">
        <v>45746.604166666664</v>
      </c>
      <c r="R1269" s="152" t="s">
        <v>118</v>
      </c>
      <c r="S1269" s="152" t="s">
        <v>118</v>
      </c>
      <c r="T1269" s="152">
        <v>45746.614583333336</v>
      </c>
      <c r="U1269" s="152">
        <v>45746.678472222222</v>
      </c>
      <c r="V1269" s="219">
        <f t="shared" si="777"/>
        <v>0.20833333332848269</v>
      </c>
      <c r="W1269" s="203">
        <v>0.20833333333333334</v>
      </c>
      <c r="X1269" s="219" t="str">
        <f t="shared" si="778"/>
        <v>00:00</v>
      </c>
      <c r="Y1269" s="96">
        <v>0</v>
      </c>
      <c r="Z1269" s="96">
        <v>59</v>
      </c>
      <c r="AA1269" s="96">
        <f t="shared" si="759"/>
        <v>59</v>
      </c>
      <c r="AB1269" s="97">
        <f t="shared" si="761"/>
        <v>0</v>
      </c>
      <c r="AC1269" s="97">
        <f t="shared" si="762"/>
        <v>4090.12</v>
      </c>
      <c r="AD1269" s="98">
        <v>4090.12</v>
      </c>
      <c r="AE1269" s="98">
        <v>4108.3999999999996</v>
      </c>
      <c r="AF1269" s="98">
        <v>4121.8</v>
      </c>
      <c r="AG1269" s="98">
        <f t="shared" si="763"/>
        <v>31.680000000000291</v>
      </c>
      <c r="AH1269" s="99">
        <v>672.5</v>
      </c>
      <c r="AI1269" s="100">
        <f t="shared" si="764"/>
        <v>2771910.5</v>
      </c>
      <c r="AJ1269" s="100">
        <f>(3*AH1269)*2</f>
        <v>4035</v>
      </c>
      <c r="AK1269" s="100">
        <v>0</v>
      </c>
      <c r="AL1269" s="100">
        <v>0</v>
      </c>
      <c r="AM1269" s="100">
        <v>0</v>
      </c>
      <c r="AN1269" s="100">
        <v>0</v>
      </c>
      <c r="AO1269" s="100">
        <v>0</v>
      </c>
      <c r="AP1269" s="100">
        <f t="shared" si="767"/>
        <v>138798</v>
      </c>
      <c r="AQ1269" s="101">
        <f t="shared" si="776"/>
        <v>2914744</v>
      </c>
      <c r="AR1269" s="101">
        <v>0</v>
      </c>
      <c r="AS1269" s="101">
        <v>0</v>
      </c>
      <c r="AT1269" s="102" t="s">
        <v>33</v>
      </c>
      <c r="AU1269" s="109" t="s">
        <v>118</v>
      </c>
      <c r="AV1269" s="100">
        <v>0</v>
      </c>
      <c r="AW1269" s="105">
        <v>0</v>
      </c>
      <c r="AX1269" s="216">
        <f t="shared" si="779"/>
        <v>0.76859624435926754</v>
      </c>
      <c r="AY1269" s="217">
        <f t="shared" si="780"/>
        <v>21305</v>
      </c>
      <c r="AZ1269" s="107"/>
      <c r="BA1269" s="94">
        <v>45746.395833333336</v>
      </c>
      <c r="BB1269" s="94">
        <v>45746.409722222219</v>
      </c>
      <c r="BC1269" s="94">
        <v>45746.409722222219</v>
      </c>
      <c r="BD1269" s="94">
        <v>45746.541666666664</v>
      </c>
      <c r="BE1269" s="95">
        <f t="shared" si="754"/>
        <v>0.14583333332848269</v>
      </c>
      <c r="BF1269" s="95">
        <v>0</v>
      </c>
      <c r="BG1269" s="95">
        <v>0</v>
      </c>
      <c r="BH1269" s="95">
        <f t="shared" si="781"/>
        <v>1.3888888883229811E-2</v>
      </c>
      <c r="BI1269" s="95">
        <f t="shared" si="781"/>
        <v>0</v>
      </c>
      <c r="BJ1269" s="95">
        <f t="shared" si="781"/>
        <v>0.13194444444525288</v>
      </c>
      <c r="BK1269" s="95">
        <f t="shared" si="782"/>
        <v>0.13194444444525288</v>
      </c>
      <c r="BL1269" s="95">
        <f t="shared" si="783"/>
        <v>0.13194444444525288</v>
      </c>
      <c r="BM1269" s="95" t="str">
        <f t="shared" si="784"/>
        <v>00:00</v>
      </c>
      <c r="BN1269" s="110"/>
    </row>
    <row r="1270" spans="1:66" s="8" customFormat="1" ht="12.75" customHeight="1" x14ac:dyDescent="0.25">
      <c r="A1270" s="150">
        <v>1168</v>
      </c>
      <c r="B1270" s="150">
        <v>102</v>
      </c>
      <c r="C1270" s="90">
        <v>1</v>
      </c>
      <c r="D1270" s="111" t="s">
        <v>113</v>
      </c>
      <c r="E1270" s="210" t="s">
        <v>1209</v>
      </c>
      <c r="F1270" s="150" t="s">
        <v>41</v>
      </c>
      <c r="G1270" s="150" t="s">
        <v>12</v>
      </c>
      <c r="H1270" s="150" t="s">
        <v>115</v>
      </c>
      <c r="I1270" s="150" t="s">
        <v>896</v>
      </c>
      <c r="J1270" s="151">
        <v>45746</v>
      </c>
      <c r="K1270" s="135" t="s">
        <v>117</v>
      </c>
      <c r="L1270" s="135">
        <v>282001150</v>
      </c>
      <c r="M1270" s="151">
        <v>45746</v>
      </c>
      <c r="N1270" s="152">
        <v>45746.569444444445</v>
      </c>
      <c r="O1270" s="152">
        <v>45746.569444444445</v>
      </c>
      <c r="P1270" s="152">
        <v>45746.576388888891</v>
      </c>
      <c r="Q1270" s="152">
        <v>45746.760416666664</v>
      </c>
      <c r="R1270" s="152" t="s">
        <v>118</v>
      </c>
      <c r="S1270" s="152" t="s">
        <v>118</v>
      </c>
      <c r="T1270" s="152">
        <v>45746.770833333336</v>
      </c>
      <c r="U1270" s="152">
        <v>45746.885416666664</v>
      </c>
      <c r="V1270" s="219">
        <f t="shared" si="777"/>
        <v>0.19097222221898846</v>
      </c>
      <c r="W1270" s="203">
        <v>0.20833333333333334</v>
      </c>
      <c r="X1270" s="219" t="str">
        <f t="shared" si="778"/>
        <v>00:00</v>
      </c>
      <c r="Y1270" s="96">
        <v>0</v>
      </c>
      <c r="Z1270" s="96">
        <v>59</v>
      </c>
      <c r="AA1270" s="96">
        <f t="shared" si="759"/>
        <v>59</v>
      </c>
      <c r="AB1270" s="97">
        <f t="shared" si="761"/>
        <v>0</v>
      </c>
      <c r="AC1270" s="97">
        <f t="shared" si="762"/>
        <v>4039.4100000000003</v>
      </c>
      <c r="AD1270" s="98">
        <v>4039.41</v>
      </c>
      <c r="AE1270" s="98">
        <v>4097</v>
      </c>
      <c r="AF1270" s="98">
        <v>4105.2</v>
      </c>
      <c r="AG1270" s="98">
        <f t="shared" si="763"/>
        <v>65.789999999999964</v>
      </c>
      <c r="AH1270" s="99">
        <v>1586.7</v>
      </c>
      <c r="AI1270" s="100">
        <f t="shared" si="764"/>
        <v>6513720.8399999999</v>
      </c>
      <c r="AJ1270" s="100">
        <f t="shared" si="775"/>
        <v>0</v>
      </c>
      <c r="AK1270" s="100">
        <v>0</v>
      </c>
      <c r="AL1270" s="100">
        <v>24290</v>
      </c>
      <c r="AM1270" s="100">
        <v>0</v>
      </c>
      <c r="AN1270" s="100">
        <v>0</v>
      </c>
      <c r="AO1270" s="100">
        <f>IFERROR(AF1270*20+(((AJ1270/AH1270)/2)*20),0)</f>
        <v>82104</v>
      </c>
      <c r="AP1270" s="100">
        <f t="shared" si="767"/>
        <v>331006</v>
      </c>
      <c r="AQ1270" s="101">
        <f t="shared" si="776"/>
        <v>6951121</v>
      </c>
      <c r="AR1270" s="101">
        <v>0</v>
      </c>
      <c r="AS1270" s="101">
        <v>0</v>
      </c>
      <c r="AT1270" s="102" t="s">
        <v>33</v>
      </c>
      <c r="AU1270" s="109">
        <v>3</v>
      </c>
      <c r="AV1270" s="100">
        <f>10.14-7.14</f>
        <v>3.0000000000000009</v>
      </c>
      <c r="AW1270" s="105">
        <v>0</v>
      </c>
      <c r="AX1270" s="216">
        <f t="shared" si="779"/>
        <v>1.6026015784858221</v>
      </c>
      <c r="AY1270" s="217">
        <f t="shared" si="780"/>
        <v>104389</v>
      </c>
      <c r="AZ1270" s="107"/>
      <c r="BA1270" s="94">
        <v>45746.569444444445</v>
      </c>
      <c r="BB1270" s="94">
        <v>45746.576388888891</v>
      </c>
      <c r="BC1270" s="94">
        <v>45746.590277777781</v>
      </c>
      <c r="BD1270" s="94">
        <v>45746.716666666667</v>
      </c>
      <c r="BE1270" s="95">
        <f t="shared" si="754"/>
        <v>0.14722222222189885</v>
      </c>
      <c r="BF1270" s="95">
        <v>6.9444444444444441E-3</v>
      </c>
      <c r="BG1270" s="95">
        <v>6.9444444444444441E-3</v>
      </c>
      <c r="BH1270" s="95">
        <f t="shared" si="781"/>
        <v>6.9444444452528842E-3</v>
      </c>
      <c r="BI1270" s="95">
        <f t="shared" si="781"/>
        <v>1.3888888890505768E-2</v>
      </c>
      <c r="BJ1270" s="95">
        <f t="shared" si="781"/>
        <v>0.12638888888614019</v>
      </c>
      <c r="BK1270" s="95">
        <f t="shared" si="782"/>
        <v>0.14027777777664596</v>
      </c>
      <c r="BL1270" s="95">
        <f t="shared" si="783"/>
        <v>0.12638888888775707</v>
      </c>
      <c r="BM1270" s="95" t="str">
        <f t="shared" si="784"/>
        <v>00:00</v>
      </c>
      <c r="BN1270" s="110"/>
    </row>
    <row r="1271" spans="1:66" s="8" customFormat="1" ht="12.75" customHeight="1" x14ac:dyDescent="0.25">
      <c r="A1271" s="150">
        <v>1169</v>
      </c>
      <c r="B1271" s="150">
        <v>103</v>
      </c>
      <c r="C1271" s="90">
        <v>16</v>
      </c>
      <c r="D1271" s="111" t="s">
        <v>148</v>
      </c>
      <c r="E1271" s="210" t="s">
        <v>1184</v>
      </c>
      <c r="F1271" s="150" t="s">
        <v>16</v>
      </c>
      <c r="G1271" s="150" t="s">
        <v>17</v>
      </c>
      <c r="H1271" s="150" t="s">
        <v>150</v>
      </c>
      <c r="I1271" s="150" t="s">
        <v>1210</v>
      </c>
      <c r="J1271" s="151">
        <v>45745</v>
      </c>
      <c r="K1271" s="135" t="s">
        <v>122</v>
      </c>
      <c r="L1271" s="135">
        <v>461000863</v>
      </c>
      <c r="M1271" s="151">
        <v>45747</v>
      </c>
      <c r="N1271" s="152">
        <v>45746.708333333336</v>
      </c>
      <c r="O1271" s="152">
        <v>45746.708333333336</v>
      </c>
      <c r="P1271" s="152">
        <v>45746.711805555555</v>
      </c>
      <c r="Q1271" s="152">
        <v>45746.916666666664</v>
      </c>
      <c r="R1271" s="152" t="s">
        <v>118</v>
      </c>
      <c r="S1271" s="152" t="s">
        <v>118</v>
      </c>
      <c r="T1271" s="152">
        <v>45746.979166666664</v>
      </c>
      <c r="U1271" s="152">
        <v>45747.090277777781</v>
      </c>
      <c r="V1271" s="219">
        <f t="shared" si="777"/>
        <v>0.20833333332848269</v>
      </c>
      <c r="W1271" s="203">
        <v>0.20833333333333334</v>
      </c>
      <c r="X1271" s="219" t="str">
        <f t="shared" si="778"/>
        <v>00:00</v>
      </c>
      <c r="Y1271" s="96">
        <v>0</v>
      </c>
      <c r="Z1271" s="96">
        <v>57</v>
      </c>
      <c r="AA1271" s="96">
        <f t="shared" si="759"/>
        <v>57</v>
      </c>
      <c r="AB1271" s="97">
        <f t="shared" si="761"/>
        <v>0</v>
      </c>
      <c r="AC1271" s="97">
        <f t="shared" si="762"/>
        <v>3917.6</v>
      </c>
      <c r="AD1271" s="98">
        <v>3917.6</v>
      </c>
      <c r="AE1271" s="98">
        <v>3959.2</v>
      </c>
      <c r="AF1271" s="98">
        <v>3973.8</v>
      </c>
      <c r="AG1271" s="98">
        <f t="shared" si="763"/>
        <v>56.200000000000273</v>
      </c>
      <c r="AH1271" s="99">
        <v>672.5</v>
      </c>
      <c r="AI1271" s="100">
        <f t="shared" si="764"/>
        <v>2672380.5</v>
      </c>
      <c r="AJ1271" s="100">
        <f t="shared" si="775"/>
        <v>0</v>
      </c>
      <c r="AK1271" s="100">
        <v>0</v>
      </c>
      <c r="AL1271" s="100">
        <v>23990</v>
      </c>
      <c r="AM1271" s="100">
        <v>0</v>
      </c>
      <c r="AN1271" s="100">
        <v>0</v>
      </c>
      <c r="AO1271" s="100">
        <v>0</v>
      </c>
      <c r="AP1271" s="100">
        <f t="shared" si="767"/>
        <v>134819</v>
      </c>
      <c r="AQ1271" s="101">
        <f t="shared" si="776"/>
        <v>2831190</v>
      </c>
      <c r="AR1271" s="101">
        <v>0</v>
      </c>
      <c r="AS1271" s="101">
        <v>0</v>
      </c>
      <c r="AT1271" s="102" t="s">
        <v>33</v>
      </c>
      <c r="AU1271" s="109">
        <v>11</v>
      </c>
      <c r="AV1271" s="100">
        <f>24.53-12.03</f>
        <v>12.500000000000002</v>
      </c>
      <c r="AW1271" s="105">
        <v>0</v>
      </c>
      <c r="AX1271" s="216">
        <f t="shared" si="779"/>
        <v>1.4142634254366167</v>
      </c>
      <c r="AY1271" s="217">
        <f t="shared" si="780"/>
        <v>37795</v>
      </c>
      <c r="AZ1271" s="107"/>
      <c r="BA1271" s="94">
        <v>45746.708333333336</v>
      </c>
      <c r="BB1271" s="94">
        <v>45746.711805555555</v>
      </c>
      <c r="BC1271" s="94">
        <v>45746.729166666664</v>
      </c>
      <c r="BD1271" s="94">
        <v>45746.861111111109</v>
      </c>
      <c r="BE1271" s="95">
        <f t="shared" si="754"/>
        <v>0.15277777777373558</v>
      </c>
      <c r="BF1271" s="95">
        <v>5.5555555555555558E-3</v>
      </c>
      <c r="BG1271" s="95">
        <v>1.5277777777777777E-2</v>
      </c>
      <c r="BH1271" s="95">
        <f t="shared" si="781"/>
        <v>3.4722222189884633E-3</v>
      </c>
      <c r="BI1271" s="95">
        <f t="shared" si="781"/>
        <v>1.7361111109494232E-2</v>
      </c>
      <c r="BJ1271" s="95">
        <f t="shared" si="781"/>
        <v>0.13194444444525288</v>
      </c>
      <c r="BK1271" s="95">
        <f t="shared" si="782"/>
        <v>0.14930555555474712</v>
      </c>
      <c r="BL1271" s="95">
        <f t="shared" si="783"/>
        <v>0.12847222222141377</v>
      </c>
      <c r="BM1271" s="95" t="str">
        <f t="shared" si="784"/>
        <v>00:00</v>
      </c>
      <c r="BN1271" s="110"/>
    </row>
    <row r="1272" spans="1:66" s="8" customFormat="1" ht="12.75" customHeight="1" x14ac:dyDescent="0.25">
      <c r="A1272" s="150">
        <v>1170</v>
      </c>
      <c r="B1272" s="150">
        <v>104</v>
      </c>
      <c r="C1272" s="90">
        <v>17</v>
      </c>
      <c r="D1272" s="111" t="s">
        <v>148</v>
      </c>
      <c r="E1272" s="210" t="s">
        <v>1184</v>
      </c>
      <c r="F1272" s="150" t="s">
        <v>16</v>
      </c>
      <c r="G1272" s="150" t="s">
        <v>17</v>
      </c>
      <c r="H1272" s="150" t="s">
        <v>150</v>
      </c>
      <c r="I1272" s="150" t="s">
        <v>1211</v>
      </c>
      <c r="J1272" s="151">
        <v>45745</v>
      </c>
      <c r="K1272" s="135" t="s">
        <v>117</v>
      </c>
      <c r="L1272" s="135">
        <v>461000864</v>
      </c>
      <c r="M1272" s="151">
        <v>45747</v>
      </c>
      <c r="N1272" s="152">
        <v>45746.927083333336</v>
      </c>
      <c r="O1272" s="152">
        <v>45746.927083333336</v>
      </c>
      <c r="P1272" s="152">
        <v>45746.947916666664</v>
      </c>
      <c r="Q1272" s="152">
        <v>45747.125</v>
      </c>
      <c r="R1272" s="152" t="s">
        <v>118</v>
      </c>
      <c r="S1272" s="152" t="s">
        <v>118</v>
      </c>
      <c r="T1272" s="152">
        <v>45747.166666666664</v>
      </c>
      <c r="U1272" s="152">
        <v>45747.284722222219</v>
      </c>
      <c r="V1272" s="219">
        <f t="shared" si="777"/>
        <v>0.19791666666424135</v>
      </c>
      <c r="W1272" s="203">
        <v>0.20833333333333334</v>
      </c>
      <c r="X1272" s="219" t="str">
        <f t="shared" si="778"/>
        <v>00:00</v>
      </c>
      <c r="Y1272" s="96">
        <v>4</v>
      </c>
      <c r="Z1272" s="96">
        <v>55</v>
      </c>
      <c r="AA1272" s="96">
        <f t="shared" si="759"/>
        <v>59</v>
      </c>
      <c r="AB1272" s="97">
        <f t="shared" si="761"/>
        <v>278.60610169491525</v>
      </c>
      <c r="AC1272" s="97">
        <f t="shared" si="762"/>
        <v>3830.8338983050849</v>
      </c>
      <c r="AD1272" s="98">
        <v>4109.4399999999996</v>
      </c>
      <c r="AE1272" s="98">
        <v>4125.3999999999996</v>
      </c>
      <c r="AF1272" s="98">
        <v>4141.2</v>
      </c>
      <c r="AG1272" s="98">
        <f t="shared" si="763"/>
        <v>31.760000000000218</v>
      </c>
      <c r="AH1272" s="99">
        <v>672.5</v>
      </c>
      <c r="AI1272" s="100">
        <f t="shared" si="764"/>
        <v>2784957</v>
      </c>
      <c r="AJ1272" s="100">
        <f t="shared" si="775"/>
        <v>0</v>
      </c>
      <c r="AK1272" s="100">
        <v>0</v>
      </c>
      <c r="AL1272" s="100">
        <v>24290</v>
      </c>
      <c r="AM1272" s="100">
        <v>0</v>
      </c>
      <c r="AN1272" s="100">
        <v>0</v>
      </c>
      <c r="AO1272" s="100">
        <v>0</v>
      </c>
      <c r="AP1272" s="100">
        <f t="shared" si="767"/>
        <v>140463</v>
      </c>
      <c r="AQ1272" s="101">
        <f t="shared" si="776"/>
        <v>2949710</v>
      </c>
      <c r="AR1272" s="101">
        <v>0</v>
      </c>
      <c r="AS1272" s="101">
        <v>0</v>
      </c>
      <c r="AT1272" s="102" t="s">
        <v>33</v>
      </c>
      <c r="AU1272" s="109">
        <v>8</v>
      </c>
      <c r="AV1272" s="100">
        <f>18.2-13.7</f>
        <v>4.5</v>
      </c>
      <c r="AW1272" s="105">
        <v>0</v>
      </c>
      <c r="AX1272" s="216">
        <f t="shared" si="779"/>
        <v>0.76692746063943351</v>
      </c>
      <c r="AY1272" s="217">
        <f t="shared" si="780"/>
        <v>21359</v>
      </c>
      <c r="AZ1272" s="107"/>
      <c r="BA1272" s="94">
        <v>45746.927083333336</v>
      </c>
      <c r="BB1272" s="94">
        <v>45746.947916666664</v>
      </c>
      <c r="BC1272" s="94">
        <v>45746.947916666664</v>
      </c>
      <c r="BD1272" s="94">
        <v>45747.0625</v>
      </c>
      <c r="BE1272" s="95">
        <f t="shared" si="754"/>
        <v>0.13541666666424135</v>
      </c>
      <c r="BF1272" s="95">
        <v>0</v>
      </c>
      <c r="BG1272" s="95">
        <v>0</v>
      </c>
      <c r="BH1272" s="95">
        <f t="shared" si="781"/>
        <v>2.0833333328482695E-2</v>
      </c>
      <c r="BI1272" s="95">
        <f t="shared" si="781"/>
        <v>0</v>
      </c>
      <c r="BJ1272" s="95">
        <f t="shared" si="781"/>
        <v>0.11458333333575865</v>
      </c>
      <c r="BK1272" s="95">
        <f t="shared" si="782"/>
        <v>0.11458333333575865</v>
      </c>
      <c r="BL1272" s="95">
        <f t="shared" si="783"/>
        <v>0.11458333333575865</v>
      </c>
      <c r="BM1272" s="95" t="str">
        <f t="shared" si="784"/>
        <v>00:00</v>
      </c>
      <c r="BN1272" s="110"/>
    </row>
    <row r="1273" spans="1:66" s="8" customFormat="1" ht="12.75" customHeight="1" x14ac:dyDescent="0.25">
      <c r="A1273" s="150">
        <v>1171</v>
      </c>
      <c r="B1273" s="150">
        <v>105</v>
      </c>
      <c r="C1273" s="90">
        <v>18</v>
      </c>
      <c r="D1273" s="111" t="s">
        <v>148</v>
      </c>
      <c r="E1273" s="210" t="s">
        <v>1184</v>
      </c>
      <c r="F1273" s="150" t="s">
        <v>16</v>
      </c>
      <c r="G1273" s="150" t="s">
        <v>17</v>
      </c>
      <c r="H1273" s="150" t="s">
        <v>150</v>
      </c>
      <c r="I1273" s="150" t="s">
        <v>1212</v>
      </c>
      <c r="J1273" s="151">
        <v>45746</v>
      </c>
      <c r="K1273" s="135" t="s">
        <v>122</v>
      </c>
      <c r="L1273" s="135">
        <v>461000865</v>
      </c>
      <c r="M1273" s="151">
        <v>45747</v>
      </c>
      <c r="N1273" s="152">
        <v>45747.15625</v>
      </c>
      <c r="O1273" s="152">
        <v>45747.135416666664</v>
      </c>
      <c r="P1273" s="152">
        <v>45747.166666666664</v>
      </c>
      <c r="Q1273" s="152">
        <v>45747.34375</v>
      </c>
      <c r="R1273" s="152">
        <v>45747.15625</v>
      </c>
      <c r="S1273" s="152" t="s">
        <v>118</v>
      </c>
      <c r="T1273" s="152">
        <v>45747.375</v>
      </c>
      <c r="U1273" s="152">
        <v>45747.489583333336</v>
      </c>
      <c r="V1273" s="219">
        <f t="shared" si="777"/>
        <v>0.20833333333575865</v>
      </c>
      <c r="W1273" s="203">
        <v>0.20833333333333334</v>
      </c>
      <c r="X1273" s="219">
        <f t="shared" si="778"/>
        <v>2.4253099528692701E-12</v>
      </c>
      <c r="Y1273" s="96">
        <v>0</v>
      </c>
      <c r="Z1273" s="96">
        <v>59</v>
      </c>
      <c r="AA1273" s="96">
        <f t="shared" si="759"/>
        <v>59</v>
      </c>
      <c r="AB1273" s="97">
        <f t="shared" si="761"/>
        <v>0</v>
      </c>
      <c r="AC1273" s="97">
        <f t="shared" si="762"/>
        <v>4072.4000000000005</v>
      </c>
      <c r="AD1273" s="98">
        <v>4072.4</v>
      </c>
      <c r="AE1273" s="98">
        <v>4095.9</v>
      </c>
      <c r="AF1273" s="98">
        <v>4111</v>
      </c>
      <c r="AG1273" s="98">
        <f t="shared" si="763"/>
        <v>38.599999999999909</v>
      </c>
      <c r="AH1273" s="99">
        <v>672.5</v>
      </c>
      <c r="AI1273" s="100">
        <f t="shared" si="764"/>
        <v>2764647.5</v>
      </c>
      <c r="AJ1273" s="100">
        <f t="shared" si="775"/>
        <v>0</v>
      </c>
      <c r="AK1273" s="100">
        <v>0</v>
      </c>
      <c r="AL1273" s="100">
        <v>24290</v>
      </c>
      <c r="AM1273" s="100">
        <v>0</v>
      </c>
      <c r="AN1273" s="100">
        <v>0</v>
      </c>
      <c r="AO1273" s="100">
        <v>0</v>
      </c>
      <c r="AP1273" s="100">
        <f t="shared" si="767"/>
        <v>139447</v>
      </c>
      <c r="AQ1273" s="101">
        <f t="shared" si="776"/>
        <v>2928385</v>
      </c>
      <c r="AR1273" s="101">
        <v>0</v>
      </c>
      <c r="AS1273" s="101">
        <v>0</v>
      </c>
      <c r="AT1273" s="102" t="s">
        <v>33</v>
      </c>
      <c r="AU1273" s="109">
        <v>6</v>
      </c>
      <c r="AV1273" s="100">
        <f>18.43-13.93</f>
        <v>4.5</v>
      </c>
      <c r="AW1273" s="105">
        <v>0</v>
      </c>
      <c r="AX1273" s="216">
        <f t="shared" si="779"/>
        <v>0.93894429579177585</v>
      </c>
      <c r="AY1273" s="217">
        <f t="shared" si="780"/>
        <v>25959</v>
      </c>
      <c r="AZ1273" s="107"/>
      <c r="BA1273" s="94">
        <v>45747.135416666664</v>
      </c>
      <c r="BB1273" s="94">
        <v>45747.166666666664</v>
      </c>
      <c r="BC1273" s="94">
        <v>45747.166666666664</v>
      </c>
      <c r="BD1273" s="94">
        <v>45747.355555555558</v>
      </c>
      <c r="BE1273" s="95">
        <f t="shared" si="754"/>
        <v>0.22013888889341615</v>
      </c>
      <c r="BF1273" s="95">
        <v>0</v>
      </c>
      <c r="BG1273" s="95">
        <v>4.5138888888888888E-2</v>
      </c>
      <c r="BH1273" s="95">
        <f t="shared" si="781"/>
        <v>3.125E-2</v>
      </c>
      <c r="BI1273" s="95">
        <f t="shared" si="781"/>
        <v>0</v>
      </c>
      <c r="BJ1273" s="95">
        <f t="shared" si="781"/>
        <v>0.18888888889341615</v>
      </c>
      <c r="BK1273" s="95">
        <f t="shared" si="782"/>
        <v>0.18888888889341615</v>
      </c>
      <c r="BL1273" s="95">
        <f t="shared" si="783"/>
        <v>0.14375000000452726</v>
      </c>
      <c r="BM1273" s="95">
        <f t="shared" si="784"/>
        <v>1.1805555560082809E-2</v>
      </c>
      <c r="BN1273" s="110"/>
    </row>
    <row r="1274" spans="1:66" s="8" customFormat="1" ht="12.75" customHeight="1" x14ac:dyDescent="0.25">
      <c r="A1274" s="150">
        <v>1172</v>
      </c>
      <c r="B1274" s="150">
        <v>106</v>
      </c>
      <c r="C1274" s="90">
        <v>19</v>
      </c>
      <c r="D1274" s="111" t="s">
        <v>148</v>
      </c>
      <c r="E1274" s="210" t="s">
        <v>1184</v>
      </c>
      <c r="F1274" s="150" t="s">
        <v>16</v>
      </c>
      <c r="G1274" s="150" t="s">
        <v>17</v>
      </c>
      <c r="H1274" s="150" t="s">
        <v>150</v>
      </c>
      <c r="I1274" s="150" t="s">
        <v>1213</v>
      </c>
      <c r="J1274" s="151">
        <v>45747</v>
      </c>
      <c r="K1274" s="135" t="s">
        <v>117</v>
      </c>
      <c r="L1274" s="135">
        <v>461000866</v>
      </c>
      <c r="M1274" s="151">
        <v>45747</v>
      </c>
      <c r="N1274" s="152">
        <v>45747.427083333336</v>
      </c>
      <c r="O1274" s="152">
        <v>45747.427083333336</v>
      </c>
      <c r="P1274" s="152">
        <v>45747.434027777781</v>
      </c>
      <c r="Q1274" s="152">
        <v>45747.604166666664</v>
      </c>
      <c r="R1274" s="152" t="s">
        <v>118</v>
      </c>
      <c r="S1274" s="152" t="s">
        <v>118</v>
      </c>
      <c r="T1274" s="152">
        <v>45747.631944444445</v>
      </c>
      <c r="U1274" s="152">
        <v>45747.713194444441</v>
      </c>
      <c r="V1274" s="219">
        <f t="shared" si="777"/>
        <v>0.17708333332848269</v>
      </c>
      <c r="W1274" s="203">
        <v>0.20833333333333334</v>
      </c>
      <c r="X1274" s="219" t="str">
        <f t="shared" si="778"/>
        <v>00:00</v>
      </c>
      <c r="Y1274" s="96">
        <v>0</v>
      </c>
      <c r="Z1274" s="96">
        <v>58</v>
      </c>
      <c r="AA1274" s="96">
        <f t="shared" si="759"/>
        <v>58</v>
      </c>
      <c r="AB1274" s="97">
        <f t="shared" si="761"/>
        <v>0</v>
      </c>
      <c r="AC1274" s="97">
        <f t="shared" si="762"/>
        <v>4052.2999999999997</v>
      </c>
      <c r="AD1274" s="98">
        <v>4052.3</v>
      </c>
      <c r="AE1274" s="98">
        <v>4100.6000000000004</v>
      </c>
      <c r="AF1274" s="98">
        <v>4105.8</v>
      </c>
      <c r="AG1274" s="98">
        <f t="shared" si="763"/>
        <v>53.5</v>
      </c>
      <c r="AH1274" s="99">
        <v>672.5</v>
      </c>
      <c r="AI1274" s="100">
        <f t="shared" si="764"/>
        <v>2761150.5</v>
      </c>
      <c r="AJ1274" s="100">
        <f>(0.6*AH1274)*2</f>
        <v>807</v>
      </c>
      <c r="AK1274" s="100">
        <v>0</v>
      </c>
      <c r="AL1274" s="100">
        <v>0</v>
      </c>
      <c r="AM1274" s="100">
        <v>0</v>
      </c>
      <c r="AN1274" s="100">
        <v>0</v>
      </c>
      <c r="AO1274" s="100">
        <v>0</v>
      </c>
      <c r="AP1274" s="100">
        <f t="shared" si="767"/>
        <v>138098</v>
      </c>
      <c r="AQ1274" s="101">
        <f t="shared" si="776"/>
        <v>2900056</v>
      </c>
      <c r="AR1274" s="101">
        <v>0</v>
      </c>
      <c r="AS1274" s="101">
        <v>0</v>
      </c>
      <c r="AT1274" s="102" t="s">
        <v>33</v>
      </c>
      <c r="AU1274" s="109" t="s">
        <v>118</v>
      </c>
      <c r="AV1274" s="100">
        <v>0</v>
      </c>
      <c r="AW1274" s="105">
        <v>0</v>
      </c>
      <c r="AX1274" s="216">
        <f t="shared" si="779"/>
        <v>1.3030347313556432</v>
      </c>
      <c r="AY1274" s="217">
        <f t="shared" si="780"/>
        <v>35979</v>
      </c>
      <c r="AZ1274" s="107"/>
      <c r="BA1274" s="94">
        <v>45747.427083333336</v>
      </c>
      <c r="BB1274" s="94">
        <v>45747.440972222219</v>
      </c>
      <c r="BC1274" s="94">
        <v>45747.440972222219</v>
      </c>
      <c r="BD1274" s="94">
        <v>45747.583333333336</v>
      </c>
      <c r="BE1274" s="95">
        <f t="shared" si="754"/>
        <v>0.15625</v>
      </c>
      <c r="BF1274" s="95">
        <v>0</v>
      </c>
      <c r="BG1274" s="95">
        <v>1.3888888888888889E-3</v>
      </c>
      <c r="BH1274" s="95">
        <f t="shared" si="781"/>
        <v>1.3888888883229811E-2</v>
      </c>
      <c r="BI1274" s="95">
        <f t="shared" si="781"/>
        <v>0</v>
      </c>
      <c r="BJ1274" s="95">
        <f t="shared" si="781"/>
        <v>0.14236111111677019</v>
      </c>
      <c r="BK1274" s="95">
        <f t="shared" si="782"/>
        <v>0.14236111111677019</v>
      </c>
      <c r="BL1274" s="95">
        <f t="shared" si="783"/>
        <v>0.14097222222788131</v>
      </c>
      <c r="BM1274" s="95" t="str">
        <f t="shared" si="784"/>
        <v>00:00</v>
      </c>
      <c r="BN1274" s="110"/>
    </row>
    <row r="1275" spans="1:66" s="8" customFormat="1" ht="12.75" customHeight="1" x14ac:dyDescent="0.25">
      <c r="A1275" s="111"/>
      <c r="B1275" s="111"/>
      <c r="C1275" s="111"/>
      <c r="D1275" s="111"/>
      <c r="E1275" s="270"/>
      <c r="F1275" s="208"/>
      <c r="G1275" s="111"/>
      <c r="H1275" s="111"/>
      <c r="I1275" s="96"/>
      <c r="J1275" s="113"/>
      <c r="K1275" s="96"/>
      <c r="L1275" s="96"/>
      <c r="M1275" s="113"/>
      <c r="N1275" s="271"/>
      <c r="O1275" s="271"/>
      <c r="P1275" s="271"/>
      <c r="Q1275" s="271"/>
      <c r="R1275" s="271"/>
      <c r="S1275" s="271"/>
      <c r="T1275" s="271"/>
      <c r="U1275" s="271"/>
      <c r="V1275" s="165"/>
      <c r="W1275" s="165"/>
      <c r="X1275" s="165"/>
      <c r="Y1275" s="96"/>
      <c r="Z1275" s="96"/>
      <c r="AA1275" s="96"/>
      <c r="AB1275" s="97"/>
      <c r="AC1275" s="97"/>
      <c r="AD1275" s="98"/>
      <c r="AE1275" s="98"/>
      <c r="AF1275" s="98"/>
      <c r="AG1275" s="98"/>
      <c r="AH1275" s="99"/>
      <c r="AI1275" s="100"/>
      <c r="AJ1275" s="100"/>
      <c r="AK1275" s="100"/>
      <c r="AL1275" s="100"/>
      <c r="AM1275" s="100"/>
      <c r="AN1275" s="100"/>
      <c r="AO1275" s="100"/>
      <c r="AP1275" s="100"/>
      <c r="AQ1275" s="101"/>
      <c r="AR1275" s="101"/>
      <c r="AS1275" s="101"/>
      <c r="AT1275" s="237"/>
      <c r="AU1275" s="109"/>
      <c r="AV1275" s="100"/>
      <c r="AW1275" s="105"/>
      <c r="AX1275" s="101"/>
      <c r="AY1275" s="101"/>
      <c r="AZ1275" s="107"/>
      <c r="BA1275" s="271"/>
      <c r="BB1275" s="271"/>
      <c r="BC1275" s="271"/>
      <c r="BD1275" s="271"/>
      <c r="BE1275" s="136"/>
      <c r="BF1275" s="136"/>
      <c r="BG1275" s="136"/>
      <c r="BH1275" s="136"/>
      <c r="BI1275" s="136"/>
      <c r="BJ1275" s="136"/>
      <c r="BK1275" s="136"/>
      <c r="BL1275" s="136"/>
      <c r="BM1275" s="136"/>
      <c r="BN1275" s="208"/>
    </row>
    <row r="1276" spans="1:66" ht="15" x14ac:dyDescent="0.25">
      <c r="A1276" s="272">
        <f>MAX(A31:A1275)</f>
        <v>1172</v>
      </c>
      <c r="B1276" s="272"/>
      <c r="C1276" s="208"/>
      <c r="D1276" s="208"/>
      <c r="E1276" s="208"/>
      <c r="F1276" s="208"/>
      <c r="G1276" s="208"/>
      <c r="H1276" s="208"/>
      <c r="I1276" s="208"/>
      <c r="J1276" s="273"/>
      <c r="K1276" s="208"/>
      <c r="L1276" s="208"/>
      <c r="M1276" s="274"/>
      <c r="N1276" s="275"/>
      <c r="O1276" s="275"/>
      <c r="P1276" s="275"/>
      <c r="Q1276" s="275"/>
      <c r="R1276" s="275"/>
      <c r="S1276" s="275"/>
      <c r="T1276" s="275"/>
      <c r="U1276" s="275"/>
      <c r="V1276" s="276">
        <f>SUBTOTAL(9,V31:V1275)</f>
        <v>227.3819444444016</v>
      </c>
      <c r="W1276" s="277"/>
      <c r="X1276" s="276">
        <f>SUBTOTAL(9,X31:X1275)</f>
        <v>1.8750000006815177</v>
      </c>
      <c r="Y1276" s="272">
        <f>SUBTOTAL(9,Y31:Y1275)</f>
        <v>2692</v>
      </c>
      <c r="Z1276" s="272">
        <f>SUBTOTAL(9,Z31:Z1275)</f>
        <v>65272</v>
      </c>
      <c r="AA1276" s="272">
        <f>SUBTOTAL(9,AA31:AA1275)</f>
        <v>67964</v>
      </c>
      <c r="AB1276" s="278">
        <f>SUBTOTAL(9,AB31:AB1275)</f>
        <v>184198.30794768073</v>
      </c>
      <c r="AC1276" s="279">
        <f>SUBTOTAL(9,AC27:AC1275)</f>
        <v>4464414.0520523218</v>
      </c>
      <c r="AD1276" s="280">
        <f>SUBTOTAL(9,AD31:AD1275)</f>
        <v>4648612.3600000069</v>
      </c>
      <c r="AE1276" s="279">
        <f>SUBTOTAL(9,AE31:AE1275)</f>
        <v>4715594.799999998</v>
      </c>
      <c r="AF1276" s="279">
        <f>SUBTOTAL(9,AF29:AF1275)</f>
        <v>4730922.9999999944</v>
      </c>
      <c r="AG1276" s="279">
        <f>SUBTOTAL(9,AG29:AG1275)</f>
        <v>82310.639999999825</v>
      </c>
      <c r="AH1276" s="281">
        <f>SUBTOTAL(9,AH29:AH1275)</f>
        <v>1206828.599999991</v>
      </c>
      <c r="AI1276" s="282"/>
      <c r="AJ1276" s="283">
        <f>SUBTOTAL(9,AJ31:AJ1275)</f>
        <v>1296336.99</v>
      </c>
      <c r="AK1276" s="283">
        <f>SUBTOTAL(9,AK31:AK1275)</f>
        <v>30769.199999999997</v>
      </c>
      <c r="AL1276" s="283">
        <f>SUBTOTAL(9,AL31:AL1275)</f>
        <v>15371060</v>
      </c>
      <c r="AM1276" s="283">
        <f>SUBTOTAL(9,AM31:AM1275)</f>
        <v>34744</v>
      </c>
      <c r="AN1276" s="283"/>
      <c r="AO1276" s="283">
        <f>SUBTOTAL(9,AO31:AO1275)</f>
        <v>11678484</v>
      </c>
      <c r="AP1276" s="283">
        <f>SUBTOTAL(9,AP31:AP1275)</f>
        <v>228724606</v>
      </c>
      <c r="AQ1276" s="284">
        <f>SUBTOTAL(9,AQ31:AQ1275)</f>
        <v>4803205846</v>
      </c>
      <c r="AR1276" s="284"/>
      <c r="AS1276" s="284"/>
      <c r="AT1276" s="285"/>
      <c r="AU1276" s="286">
        <f>SUBTOTAL(9,AU31:AU1275)</f>
        <v>6344</v>
      </c>
      <c r="AV1276" s="283">
        <f>SUBTOTAL(9,AV31:AV1275)</f>
        <v>7530.2599999999984</v>
      </c>
      <c r="AW1276" s="287">
        <f>SUBTOTAL(9,AW31:AW1275)</f>
        <v>174</v>
      </c>
      <c r="AX1276" s="288">
        <f>IFERROR((AG1276/AF1276)*100, "")</f>
        <v>1.73984315534199</v>
      </c>
      <c r="AY1276" s="284">
        <f>SUBTOTAL(9,AY31:AY1275)</f>
        <v>88094037</v>
      </c>
      <c r="AZ1276" s="107"/>
      <c r="BA1276" s="275"/>
      <c r="BB1276" s="275"/>
      <c r="BC1276" s="275"/>
      <c r="BD1276" s="275"/>
      <c r="BE1276" s="276">
        <f>SUBTOTAL(9,BE27:BE1275)</f>
        <v>214.81597222220444</v>
      </c>
      <c r="BF1276" s="276">
        <f>SUBTOTAL(9,BF27:BF1275)</f>
        <v>20.29305555555019</v>
      </c>
      <c r="BG1276" s="276">
        <f>SUBTOTAL(9,BG27:BG1275)</f>
        <v>37.402083333337004</v>
      </c>
      <c r="BH1276" s="276">
        <f>SUBTOTAL(9,BH27:BH1275)</f>
        <v>9.5798611108912155</v>
      </c>
      <c r="BI1276" s="276">
        <f>SUBTOTAL(9,BI27:BI1275)</f>
        <v>23.090277777882875</v>
      </c>
      <c r="BJ1276" s="276">
        <f>SUBTOTAL(9,BJ27:BJ1275)</f>
        <v>182.14583333343035</v>
      </c>
      <c r="BK1276" s="276">
        <f>SUBTOTAL(9,BK27:BK1275)</f>
        <v>205.23611111131322</v>
      </c>
      <c r="BL1276" s="276">
        <f>SUBTOTAL(9,BL27:BL1275)</f>
        <v>147.54097222242586</v>
      </c>
      <c r="BM1276" s="276">
        <f>SUBTOTAL(9,BM27:BM1275)</f>
        <v>16.743055555603224</v>
      </c>
      <c r="BN1276" s="208"/>
    </row>
    <row r="1277" spans="1:66" x14ac:dyDescent="0.25">
      <c r="AC1277" s="45">
        <f>+AD1276-AB1276-AC1276</f>
        <v>0</v>
      </c>
    </row>
    <row r="1278" spans="1:66" ht="15" x14ac:dyDescent="0.25">
      <c r="AD1278" s="290"/>
    </row>
    <row r="1279" spans="1:66" x14ac:dyDescent="0.25">
      <c r="AD1279" s="45"/>
      <c r="AE1279" s="45"/>
      <c r="AF1279" s="291"/>
      <c r="AL1279" s="292" t="s">
        <v>1214</v>
      </c>
    </row>
    <row r="1280" spans="1:66" x14ac:dyDescent="0.25">
      <c r="AD1280" s="45"/>
      <c r="AI1280" s="292" t="s">
        <v>1215</v>
      </c>
      <c r="AJ1280" s="293">
        <v>672.5</v>
      </c>
      <c r="AK1280" s="292">
        <f>0.2*AJ1280*2</f>
        <v>269</v>
      </c>
      <c r="AL1280" s="293">
        <f>(AK1280/2)/AJ1280</f>
        <v>0.2</v>
      </c>
    </row>
  </sheetData>
  <autoFilter ref="A30:AD1274" xr:uid="{E6FC83F8-23E0-4289-9A88-6AB50C6152E4}"/>
  <mergeCells count="2948">
    <mergeCell ref="BL1265:BL1266"/>
    <mergeCell ref="BM1265:BM1266"/>
    <mergeCell ref="BF1265:BF1266"/>
    <mergeCell ref="BG1265:BG1266"/>
    <mergeCell ref="BH1265:BH1266"/>
    <mergeCell ref="BI1265:BI1266"/>
    <mergeCell ref="BJ1265:BJ1266"/>
    <mergeCell ref="BK1265:BK1266"/>
    <mergeCell ref="AY1265:AY1266"/>
    <mergeCell ref="BA1265:BA1266"/>
    <mergeCell ref="BB1265:BB1266"/>
    <mergeCell ref="BC1265:BC1266"/>
    <mergeCell ref="BD1265:BD1266"/>
    <mergeCell ref="BE1265:BE1266"/>
    <mergeCell ref="W1265:W1266"/>
    <mergeCell ref="X1265:X1266"/>
    <mergeCell ref="AT1265:AT1266"/>
    <mergeCell ref="AU1265:AU1266"/>
    <mergeCell ref="AV1265:AV1266"/>
    <mergeCell ref="AX1265:AX1266"/>
    <mergeCell ref="Q1265:Q1266"/>
    <mergeCell ref="R1265:R1266"/>
    <mergeCell ref="S1265:S1266"/>
    <mergeCell ref="T1265:T1266"/>
    <mergeCell ref="U1265:U1266"/>
    <mergeCell ref="V1265:V1266"/>
    <mergeCell ref="K1265:K1266"/>
    <mergeCell ref="L1265:L1266"/>
    <mergeCell ref="M1265:M1266"/>
    <mergeCell ref="N1265:N1266"/>
    <mergeCell ref="O1265:O1266"/>
    <mergeCell ref="P1265:P1266"/>
    <mergeCell ref="BJ1250:BJ1251"/>
    <mergeCell ref="BK1250:BK1251"/>
    <mergeCell ref="BL1250:BL1251"/>
    <mergeCell ref="BM1250:BM1251"/>
    <mergeCell ref="A1265:A1266"/>
    <mergeCell ref="B1265:B1266"/>
    <mergeCell ref="D1265:D1266"/>
    <mergeCell ref="H1265:H1266"/>
    <mergeCell ref="I1265:I1266"/>
    <mergeCell ref="J1265:J1266"/>
    <mergeCell ref="BD1250:BD1251"/>
    <mergeCell ref="BE1250:BE1251"/>
    <mergeCell ref="BF1250:BF1251"/>
    <mergeCell ref="BG1250:BG1251"/>
    <mergeCell ref="BH1250:BH1251"/>
    <mergeCell ref="BI1250:BI1251"/>
    <mergeCell ref="AV1250:AV1251"/>
    <mergeCell ref="AX1250:AX1251"/>
    <mergeCell ref="AY1250:AY1251"/>
    <mergeCell ref="BA1250:BA1251"/>
    <mergeCell ref="BB1250:BB1251"/>
    <mergeCell ref="BC1250:BC1251"/>
    <mergeCell ref="U1250:U1251"/>
    <mergeCell ref="V1250:V1251"/>
    <mergeCell ref="W1250:W1251"/>
    <mergeCell ref="X1250:X1251"/>
    <mergeCell ref="AT1250:AT1251"/>
    <mergeCell ref="AU1250:AU1251"/>
    <mergeCell ref="O1250:O1251"/>
    <mergeCell ref="P1250:P1251"/>
    <mergeCell ref="Q1250:Q1251"/>
    <mergeCell ref="R1250:R1251"/>
    <mergeCell ref="S1250:S1251"/>
    <mergeCell ref="T1250:T1251"/>
    <mergeCell ref="I1250:I1251"/>
    <mergeCell ref="J1250:J1251"/>
    <mergeCell ref="K1250:K1251"/>
    <mergeCell ref="L1250:L1251"/>
    <mergeCell ref="M1250:M1251"/>
    <mergeCell ref="N1250:N1251"/>
    <mergeCell ref="BJ1247:BJ1248"/>
    <mergeCell ref="BK1247:BK1248"/>
    <mergeCell ref="BL1247:BL1248"/>
    <mergeCell ref="BM1247:BM1248"/>
    <mergeCell ref="A1250:A1251"/>
    <mergeCell ref="B1250:B1251"/>
    <mergeCell ref="D1250:D1251"/>
    <mergeCell ref="F1250:F1251"/>
    <mergeCell ref="G1250:G1251"/>
    <mergeCell ref="H1250:H1251"/>
    <mergeCell ref="BD1247:BD1248"/>
    <mergeCell ref="BE1247:BE1248"/>
    <mergeCell ref="BF1247:BF1248"/>
    <mergeCell ref="BG1247:BG1248"/>
    <mergeCell ref="BH1247:BH1248"/>
    <mergeCell ref="BI1247:BI1248"/>
    <mergeCell ref="AV1247:AV1248"/>
    <mergeCell ref="AX1247:AX1248"/>
    <mergeCell ref="AY1247:AY1248"/>
    <mergeCell ref="BA1247:BA1248"/>
    <mergeCell ref="BB1247:BB1248"/>
    <mergeCell ref="BC1247:BC1248"/>
    <mergeCell ref="U1247:U1248"/>
    <mergeCell ref="V1247:V1248"/>
    <mergeCell ref="W1247:W1248"/>
    <mergeCell ref="X1247:X1248"/>
    <mergeCell ref="AT1247:AT1248"/>
    <mergeCell ref="AU1247:AU1248"/>
    <mergeCell ref="O1247:O1248"/>
    <mergeCell ref="P1247:P1248"/>
    <mergeCell ref="Q1247:Q1248"/>
    <mergeCell ref="R1247:R1248"/>
    <mergeCell ref="S1247:S1248"/>
    <mergeCell ref="T1247:T1248"/>
    <mergeCell ref="I1247:I1248"/>
    <mergeCell ref="J1247:J1248"/>
    <mergeCell ref="K1247:K1248"/>
    <mergeCell ref="L1247:L1248"/>
    <mergeCell ref="M1247:M1248"/>
    <mergeCell ref="N1247:N1248"/>
    <mergeCell ref="A1247:A1248"/>
    <mergeCell ref="B1247:B1248"/>
    <mergeCell ref="D1247:D1248"/>
    <mergeCell ref="F1247:F1248"/>
    <mergeCell ref="G1247:G1248"/>
    <mergeCell ref="H1247:H1248"/>
    <mergeCell ref="BM1228:BM1230"/>
    <mergeCell ref="F1229:F1230"/>
    <mergeCell ref="G1229:G1230"/>
    <mergeCell ref="I1229:I1230"/>
    <mergeCell ref="J1229:J1230"/>
    <mergeCell ref="L1229:L1230"/>
    <mergeCell ref="M1229:M1230"/>
    <mergeCell ref="AX1229:AX1230"/>
    <mergeCell ref="AY1229:AY1230"/>
    <mergeCell ref="BG1228:BG1230"/>
    <mergeCell ref="BH1228:BH1230"/>
    <mergeCell ref="BI1228:BI1230"/>
    <mergeCell ref="BJ1228:BJ1230"/>
    <mergeCell ref="BK1228:BK1230"/>
    <mergeCell ref="BL1228:BL1230"/>
    <mergeCell ref="BA1228:BA1230"/>
    <mergeCell ref="BB1228:BB1230"/>
    <mergeCell ref="BC1228:BC1230"/>
    <mergeCell ref="BD1228:BD1230"/>
    <mergeCell ref="BE1228:BE1230"/>
    <mergeCell ref="BF1228:BF1230"/>
    <mergeCell ref="V1228:V1230"/>
    <mergeCell ref="W1228:W1230"/>
    <mergeCell ref="X1228:X1230"/>
    <mergeCell ref="AT1228:AT1230"/>
    <mergeCell ref="AU1228:AU1230"/>
    <mergeCell ref="AV1228:AV1230"/>
    <mergeCell ref="P1228:P1230"/>
    <mergeCell ref="Q1228:Q1230"/>
    <mergeCell ref="R1228:R1230"/>
    <mergeCell ref="S1228:S1230"/>
    <mergeCell ref="T1228:T1230"/>
    <mergeCell ref="U1228:U1230"/>
    <mergeCell ref="BK1205:BK1206"/>
    <mergeCell ref="BL1205:BL1206"/>
    <mergeCell ref="BM1205:BM1206"/>
    <mergeCell ref="A1228:A1230"/>
    <mergeCell ref="B1228:B1230"/>
    <mergeCell ref="D1228:D1230"/>
    <mergeCell ref="H1228:H1230"/>
    <mergeCell ref="K1228:K1230"/>
    <mergeCell ref="N1228:N1230"/>
    <mergeCell ref="O1228:O1230"/>
    <mergeCell ref="BE1205:BE1206"/>
    <mergeCell ref="BF1205:BF1206"/>
    <mergeCell ref="BG1205:BG1206"/>
    <mergeCell ref="BH1205:BH1206"/>
    <mergeCell ref="BI1205:BI1206"/>
    <mergeCell ref="BJ1205:BJ1206"/>
    <mergeCell ref="AX1205:AX1206"/>
    <mergeCell ref="AY1205:AY1206"/>
    <mergeCell ref="BA1205:BA1206"/>
    <mergeCell ref="BB1205:BB1206"/>
    <mergeCell ref="BC1205:BC1206"/>
    <mergeCell ref="BD1205:BD1206"/>
    <mergeCell ref="V1205:V1206"/>
    <mergeCell ref="W1205:W1206"/>
    <mergeCell ref="X1205:X1206"/>
    <mergeCell ref="AT1205:AT1206"/>
    <mergeCell ref="AU1205:AU1206"/>
    <mergeCell ref="AV1205:AV1206"/>
    <mergeCell ref="P1205:P1206"/>
    <mergeCell ref="Q1205:Q1206"/>
    <mergeCell ref="R1205:R1206"/>
    <mergeCell ref="S1205:S1206"/>
    <mergeCell ref="T1205:T1206"/>
    <mergeCell ref="U1205:U1206"/>
    <mergeCell ref="J1205:J1206"/>
    <mergeCell ref="K1205:K1206"/>
    <mergeCell ref="L1205:L1206"/>
    <mergeCell ref="M1205:M1206"/>
    <mergeCell ref="N1205:N1206"/>
    <mergeCell ref="O1205:O1206"/>
    <mergeCell ref="BI1203:BI1204"/>
    <mergeCell ref="BJ1203:BJ1204"/>
    <mergeCell ref="BK1203:BK1204"/>
    <mergeCell ref="BL1203:BL1204"/>
    <mergeCell ref="BM1203:BM1204"/>
    <mergeCell ref="A1205:A1206"/>
    <mergeCell ref="B1205:B1206"/>
    <mergeCell ref="D1205:D1206"/>
    <mergeCell ref="H1205:H1206"/>
    <mergeCell ref="I1205:I1206"/>
    <mergeCell ref="BC1203:BC1204"/>
    <mergeCell ref="BD1203:BD1204"/>
    <mergeCell ref="BE1203:BE1204"/>
    <mergeCell ref="BF1203:BF1204"/>
    <mergeCell ref="BG1203:BG1204"/>
    <mergeCell ref="BH1203:BH1204"/>
    <mergeCell ref="AU1203:AU1204"/>
    <mergeCell ref="AV1203:AV1204"/>
    <mergeCell ref="AX1203:AX1204"/>
    <mergeCell ref="AY1203:AY1204"/>
    <mergeCell ref="BA1203:BA1204"/>
    <mergeCell ref="BB1203:BB1204"/>
    <mergeCell ref="T1203:T1204"/>
    <mergeCell ref="U1203:U1204"/>
    <mergeCell ref="V1203:V1204"/>
    <mergeCell ref="W1203:W1204"/>
    <mergeCell ref="X1203:X1204"/>
    <mergeCell ref="AT1203:AT1204"/>
    <mergeCell ref="N1203:N1204"/>
    <mergeCell ref="O1203:O1204"/>
    <mergeCell ref="P1203:P1204"/>
    <mergeCell ref="Q1203:Q1204"/>
    <mergeCell ref="R1203:R1204"/>
    <mergeCell ref="S1203:S1204"/>
    <mergeCell ref="H1203:H1204"/>
    <mergeCell ref="I1203:I1204"/>
    <mergeCell ref="J1203:J1204"/>
    <mergeCell ref="K1203:K1204"/>
    <mergeCell ref="L1203:L1204"/>
    <mergeCell ref="M1203:M1204"/>
    <mergeCell ref="BI1194:BI1195"/>
    <mergeCell ref="BJ1194:BJ1195"/>
    <mergeCell ref="BK1194:BK1195"/>
    <mergeCell ref="BL1194:BL1195"/>
    <mergeCell ref="BM1194:BM1195"/>
    <mergeCell ref="A1203:A1204"/>
    <mergeCell ref="B1203:B1204"/>
    <mergeCell ref="D1203:D1204"/>
    <mergeCell ref="F1203:F1204"/>
    <mergeCell ref="G1203:G1204"/>
    <mergeCell ref="BC1194:BC1195"/>
    <mergeCell ref="BD1194:BD1195"/>
    <mergeCell ref="BE1194:BE1195"/>
    <mergeCell ref="BF1194:BF1195"/>
    <mergeCell ref="BG1194:BG1195"/>
    <mergeCell ref="BH1194:BH1195"/>
    <mergeCell ref="AU1194:AU1195"/>
    <mergeCell ref="AV1194:AV1195"/>
    <mergeCell ref="AX1194:AX1195"/>
    <mergeCell ref="AY1194:AY1195"/>
    <mergeCell ref="BA1194:BA1195"/>
    <mergeCell ref="BB1194:BB1195"/>
    <mergeCell ref="T1194:T1195"/>
    <mergeCell ref="U1194:U1195"/>
    <mergeCell ref="V1194:V1195"/>
    <mergeCell ref="W1194:W1195"/>
    <mergeCell ref="X1194:X1195"/>
    <mergeCell ref="AT1194:AT1195"/>
    <mergeCell ref="N1194:N1195"/>
    <mergeCell ref="O1194:O1195"/>
    <mergeCell ref="P1194:P1195"/>
    <mergeCell ref="Q1194:Q1195"/>
    <mergeCell ref="R1194:R1195"/>
    <mergeCell ref="S1194:S1195"/>
    <mergeCell ref="H1194:H1195"/>
    <mergeCell ref="I1194:I1195"/>
    <mergeCell ref="J1194:J1195"/>
    <mergeCell ref="K1194:K1195"/>
    <mergeCell ref="L1194:L1195"/>
    <mergeCell ref="M1194:M1195"/>
    <mergeCell ref="BI1178:BI1179"/>
    <mergeCell ref="BJ1178:BJ1179"/>
    <mergeCell ref="BK1178:BK1179"/>
    <mergeCell ref="BL1178:BL1179"/>
    <mergeCell ref="BM1178:BM1179"/>
    <mergeCell ref="A1194:A1195"/>
    <mergeCell ref="B1194:B1195"/>
    <mergeCell ref="D1194:D1195"/>
    <mergeCell ref="F1194:F1195"/>
    <mergeCell ref="G1194:G1195"/>
    <mergeCell ref="BC1178:BC1179"/>
    <mergeCell ref="BD1178:BD1179"/>
    <mergeCell ref="BE1178:BE1179"/>
    <mergeCell ref="BF1178:BF1179"/>
    <mergeCell ref="BG1178:BG1179"/>
    <mergeCell ref="BH1178:BH1179"/>
    <mergeCell ref="AU1178:AU1179"/>
    <mergeCell ref="AV1178:AV1179"/>
    <mergeCell ref="AX1178:AX1179"/>
    <mergeCell ref="AY1178:AY1179"/>
    <mergeCell ref="BA1178:BA1179"/>
    <mergeCell ref="BB1178:BB1179"/>
    <mergeCell ref="T1178:T1179"/>
    <mergeCell ref="U1178:U1179"/>
    <mergeCell ref="V1178:V1179"/>
    <mergeCell ref="W1178:W1179"/>
    <mergeCell ref="X1178:X1179"/>
    <mergeCell ref="AT1178:AT1179"/>
    <mergeCell ref="N1178:N1179"/>
    <mergeCell ref="O1178:O1179"/>
    <mergeCell ref="P1178:P1179"/>
    <mergeCell ref="Q1178:Q1179"/>
    <mergeCell ref="R1178:R1179"/>
    <mergeCell ref="S1178:S1179"/>
    <mergeCell ref="H1178:H1179"/>
    <mergeCell ref="I1178:I1179"/>
    <mergeCell ref="J1178:J1179"/>
    <mergeCell ref="K1178:K1179"/>
    <mergeCell ref="L1178:L1179"/>
    <mergeCell ref="M1178:M1179"/>
    <mergeCell ref="BI1169:BI1170"/>
    <mergeCell ref="BJ1169:BJ1170"/>
    <mergeCell ref="BK1169:BK1170"/>
    <mergeCell ref="BL1169:BL1170"/>
    <mergeCell ref="BM1169:BM1170"/>
    <mergeCell ref="A1178:A1179"/>
    <mergeCell ref="B1178:B1179"/>
    <mergeCell ref="D1178:D1179"/>
    <mergeCell ref="F1178:F1179"/>
    <mergeCell ref="G1178:G1179"/>
    <mergeCell ref="BC1169:BC1170"/>
    <mergeCell ref="BD1169:BD1170"/>
    <mergeCell ref="BE1169:BE1170"/>
    <mergeCell ref="BF1169:BF1170"/>
    <mergeCell ref="BG1169:BG1170"/>
    <mergeCell ref="BH1169:BH1170"/>
    <mergeCell ref="AU1169:AU1170"/>
    <mergeCell ref="AV1169:AV1170"/>
    <mergeCell ref="AX1169:AX1170"/>
    <mergeCell ref="AY1169:AY1170"/>
    <mergeCell ref="BA1169:BA1170"/>
    <mergeCell ref="BB1169:BB1170"/>
    <mergeCell ref="T1169:T1170"/>
    <mergeCell ref="U1169:U1170"/>
    <mergeCell ref="V1169:V1170"/>
    <mergeCell ref="W1169:W1170"/>
    <mergeCell ref="X1169:X1170"/>
    <mergeCell ref="AT1169:AT1170"/>
    <mergeCell ref="N1169:N1170"/>
    <mergeCell ref="O1169:O1170"/>
    <mergeCell ref="P1169:P1170"/>
    <mergeCell ref="Q1169:Q1170"/>
    <mergeCell ref="R1169:R1170"/>
    <mergeCell ref="S1169:S1170"/>
    <mergeCell ref="H1169:H1170"/>
    <mergeCell ref="I1169:I1170"/>
    <mergeCell ref="J1169:J1170"/>
    <mergeCell ref="K1169:K1170"/>
    <mergeCell ref="L1169:L1170"/>
    <mergeCell ref="M1169:M1170"/>
    <mergeCell ref="BI1159:BI1161"/>
    <mergeCell ref="BJ1159:BJ1161"/>
    <mergeCell ref="BK1159:BK1161"/>
    <mergeCell ref="BL1159:BL1161"/>
    <mergeCell ref="BM1159:BM1161"/>
    <mergeCell ref="A1169:A1170"/>
    <mergeCell ref="B1169:B1170"/>
    <mergeCell ref="D1169:D1170"/>
    <mergeCell ref="F1169:F1170"/>
    <mergeCell ref="G1169:G1170"/>
    <mergeCell ref="BC1159:BC1161"/>
    <mergeCell ref="BD1159:BD1161"/>
    <mergeCell ref="BE1159:BE1161"/>
    <mergeCell ref="BF1159:BF1161"/>
    <mergeCell ref="BG1159:BG1161"/>
    <mergeCell ref="BH1159:BH1161"/>
    <mergeCell ref="AU1159:AU1161"/>
    <mergeCell ref="AV1159:AV1161"/>
    <mergeCell ref="AX1159:AX1161"/>
    <mergeCell ref="AY1159:AY1161"/>
    <mergeCell ref="BA1159:BA1161"/>
    <mergeCell ref="BB1159:BB1161"/>
    <mergeCell ref="T1159:T1161"/>
    <mergeCell ref="U1159:U1161"/>
    <mergeCell ref="V1159:V1161"/>
    <mergeCell ref="W1159:W1161"/>
    <mergeCell ref="X1159:X1161"/>
    <mergeCell ref="AT1159:AT1161"/>
    <mergeCell ref="N1159:N1161"/>
    <mergeCell ref="O1159:O1161"/>
    <mergeCell ref="P1159:P1161"/>
    <mergeCell ref="Q1159:Q1161"/>
    <mergeCell ref="R1159:R1161"/>
    <mergeCell ref="S1159:S1161"/>
    <mergeCell ref="H1159:H1161"/>
    <mergeCell ref="I1159:I1161"/>
    <mergeCell ref="J1159:J1161"/>
    <mergeCell ref="K1159:K1161"/>
    <mergeCell ref="L1159:L1161"/>
    <mergeCell ref="M1159:M1161"/>
    <mergeCell ref="BI1132:BI1133"/>
    <mergeCell ref="BJ1132:BJ1133"/>
    <mergeCell ref="BK1132:BK1133"/>
    <mergeCell ref="BL1132:BL1133"/>
    <mergeCell ref="BM1132:BM1133"/>
    <mergeCell ref="A1159:A1161"/>
    <mergeCell ref="B1159:B1161"/>
    <mergeCell ref="D1159:D1161"/>
    <mergeCell ref="F1159:F1161"/>
    <mergeCell ref="G1159:G1161"/>
    <mergeCell ref="BC1132:BC1133"/>
    <mergeCell ref="BD1132:BD1133"/>
    <mergeCell ref="BE1132:BE1133"/>
    <mergeCell ref="BF1132:BF1133"/>
    <mergeCell ref="BG1132:BG1133"/>
    <mergeCell ref="BH1132:BH1133"/>
    <mergeCell ref="AU1132:AU1133"/>
    <mergeCell ref="AV1132:AV1133"/>
    <mergeCell ref="AX1132:AX1133"/>
    <mergeCell ref="AY1132:AY1133"/>
    <mergeCell ref="BA1132:BA1133"/>
    <mergeCell ref="BB1132:BB1133"/>
    <mergeCell ref="T1132:T1133"/>
    <mergeCell ref="U1132:U1133"/>
    <mergeCell ref="V1132:V1133"/>
    <mergeCell ref="W1132:W1133"/>
    <mergeCell ref="X1132:X1133"/>
    <mergeCell ref="AT1132:AT1133"/>
    <mergeCell ref="N1132:N1133"/>
    <mergeCell ref="O1132:O1133"/>
    <mergeCell ref="P1132:P1133"/>
    <mergeCell ref="Q1132:Q1133"/>
    <mergeCell ref="R1132:R1133"/>
    <mergeCell ref="S1132:S1133"/>
    <mergeCell ref="H1132:H1133"/>
    <mergeCell ref="I1132:I1133"/>
    <mergeCell ref="J1132:J1133"/>
    <mergeCell ref="K1132:K1133"/>
    <mergeCell ref="L1132:L1133"/>
    <mergeCell ref="M1132:M1133"/>
    <mergeCell ref="BI1129:BI1130"/>
    <mergeCell ref="BJ1129:BJ1130"/>
    <mergeCell ref="BK1129:BK1130"/>
    <mergeCell ref="BL1129:BL1130"/>
    <mergeCell ref="BM1129:BM1130"/>
    <mergeCell ref="A1132:A1133"/>
    <mergeCell ref="B1132:B1133"/>
    <mergeCell ref="D1132:D1133"/>
    <mergeCell ref="F1132:F1133"/>
    <mergeCell ref="G1132:G1133"/>
    <mergeCell ref="BC1129:BC1130"/>
    <mergeCell ref="BD1129:BD1130"/>
    <mergeCell ref="BE1129:BE1130"/>
    <mergeCell ref="BF1129:BF1130"/>
    <mergeCell ref="BG1129:BG1130"/>
    <mergeCell ref="BH1129:BH1130"/>
    <mergeCell ref="AU1129:AU1130"/>
    <mergeCell ref="AV1129:AV1130"/>
    <mergeCell ref="AX1129:AX1130"/>
    <mergeCell ref="AY1129:AY1130"/>
    <mergeCell ref="BA1129:BA1130"/>
    <mergeCell ref="BB1129:BB1130"/>
    <mergeCell ref="T1129:T1130"/>
    <mergeCell ref="U1129:U1130"/>
    <mergeCell ref="V1129:V1130"/>
    <mergeCell ref="W1129:W1130"/>
    <mergeCell ref="X1129:X1130"/>
    <mergeCell ref="AT1129:AT1130"/>
    <mergeCell ref="N1129:N1130"/>
    <mergeCell ref="O1129:O1130"/>
    <mergeCell ref="P1129:P1130"/>
    <mergeCell ref="Q1129:Q1130"/>
    <mergeCell ref="R1129:R1130"/>
    <mergeCell ref="S1129:S1130"/>
    <mergeCell ref="H1129:H1130"/>
    <mergeCell ref="I1129:I1130"/>
    <mergeCell ref="J1129:J1130"/>
    <mergeCell ref="K1129:K1130"/>
    <mergeCell ref="L1129:L1130"/>
    <mergeCell ref="M1129:M1130"/>
    <mergeCell ref="BI1116:BI1117"/>
    <mergeCell ref="BJ1116:BJ1117"/>
    <mergeCell ref="BK1116:BK1117"/>
    <mergeCell ref="BL1116:BL1117"/>
    <mergeCell ref="BM1116:BM1117"/>
    <mergeCell ref="A1129:A1130"/>
    <mergeCell ref="B1129:B1130"/>
    <mergeCell ref="D1129:D1130"/>
    <mergeCell ref="F1129:F1130"/>
    <mergeCell ref="G1129:G1130"/>
    <mergeCell ref="BC1116:BC1117"/>
    <mergeCell ref="BD1116:BD1117"/>
    <mergeCell ref="BE1116:BE1117"/>
    <mergeCell ref="BF1116:BF1117"/>
    <mergeCell ref="BG1116:BG1117"/>
    <mergeCell ref="BH1116:BH1117"/>
    <mergeCell ref="AU1116:AU1117"/>
    <mergeCell ref="AV1116:AV1117"/>
    <mergeCell ref="AX1116:AX1117"/>
    <mergeCell ref="AY1116:AY1117"/>
    <mergeCell ref="BA1116:BA1117"/>
    <mergeCell ref="BB1116:BB1117"/>
    <mergeCell ref="T1116:T1117"/>
    <mergeCell ref="U1116:U1117"/>
    <mergeCell ref="V1116:V1117"/>
    <mergeCell ref="W1116:W1117"/>
    <mergeCell ref="X1116:X1117"/>
    <mergeCell ref="AT1116:AT1117"/>
    <mergeCell ref="N1116:N1117"/>
    <mergeCell ref="O1116:O1117"/>
    <mergeCell ref="P1116:P1117"/>
    <mergeCell ref="Q1116:Q1117"/>
    <mergeCell ref="R1116:R1117"/>
    <mergeCell ref="S1116:S1117"/>
    <mergeCell ref="H1116:H1117"/>
    <mergeCell ref="I1116:I1117"/>
    <mergeCell ref="J1116:J1117"/>
    <mergeCell ref="K1116:K1117"/>
    <mergeCell ref="L1116:L1117"/>
    <mergeCell ref="M1116:M1117"/>
    <mergeCell ref="BI1104:BI1105"/>
    <mergeCell ref="BJ1104:BJ1105"/>
    <mergeCell ref="BK1104:BK1105"/>
    <mergeCell ref="BL1104:BL1105"/>
    <mergeCell ref="BM1104:BM1105"/>
    <mergeCell ref="A1116:A1117"/>
    <mergeCell ref="B1116:B1117"/>
    <mergeCell ref="D1116:D1117"/>
    <mergeCell ref="F1116:F1117"/>
    <mergeCell ref="G1116:G1117"/>
    <mergeCell ref="BC1104:BC1105"/>
    <mergeCell ref="BD1104:BD1105"/>
    <mergeCell ref="BE1104:BE1105"/>
    <mergeCell ref="BF1104:BF1105"/>
    <mergeCell ref="BG1104:BG1105"/>
    <mergeCell ref="BH1104:BH1105"/>
    <mergeCell ref="AU1104:AU1105"/>
    <mergeCell ref="AV1104:AV1105"/>
    <mergeCell ref="AX1104:AX1105"/>
    <mergeCell ref="AY1104:AY1105"/>
    <mergeCell ref="BA1104:BA1105"/>
    <mergeCell ref="BB1104:BB1105"/>
    <mergeCell ref="T1104:T1105"/>
    <mergeCell ref="U1104:U1105"/>
    <mergeCell ref="V1104:V1105"/>
    <mergeCell ref="W1104:W1105"/>
    <mergeCell ref="X1104:X1105"/>
    <mergeCell ref="AT1104:AT1105"/>
    <mergeCell ref="N1104:N1105"/>
    <mergeCell ref="O1104:O1105"/>
    <mergeCell ref="P1104:P1105"/>
    <mergeCell ref="Q1104:Q1105"/>
    <mergeCell ref="R1104:R1105"/>
    <mergeCell ref="S1104:S1105"/>
    <mergeCell ref="H1104:H1105"/>
    <mergeCell ref="I1104:I1105"/>
    <mergeCell ref="J1104:J1105"/>
    <mergeCell ref="K1104:K1105"/>
    <mergeCell ref="L1104:L1105"/>
    <mergeCell ref="M1104:M1105"/>
    <mergeCell ref="BI1084:BI1085"/>
    <mergeCell ref="BJ1084:BJ1085"/>
    <mergeCell ref="BK1084:BK1085"/>
    <mergeCell ref="BL1084:BL1085"/>
    <mergeCell ref="BM1084:BM1085"/>
    <mergeCell ref="A1104:A1105"/>
    <mergeCell ref="B1104:B1105"/>
    <mergeCell ref="D1104:D1105"/>
    <mergeCell ref="F1104:F1105"/>
    <mergeCell ref="G1104:G1105"/>
    <mergeCell ref="BC1084:BC1085"/>
    <mergeCell ref="BD1084:BD1085"/>
    <mergeCell ref="BE1084:BE1085"/>
    <mergeCell ref="BF1084:BF1085"/>
    <mergeCell ref="BG1084:BG1085"/>
    <mergeCell ref="BH1084:BH1085"/>
    <mergeCell ref="AU1084:AU1085"/>
    <mergeCell ref="AV1084:AV1085"/>
    <mergeCell ref="AX1084:AX1085"/>
    <mergeCell ref="AY1084:AY1085"/>
    <mergeCell ref="BA1084:BA1085"/>
    <mergeCell ref="BB1084:BB1085"/>
    <mergeCell ref="T1084:T1085"/>
    <mergeCell ref="U1084:U1085"/>
    <mergeCell ref="V1084:V1085"/>
    <mergeCell ref="W1084:W1085"/>
    <mergeCell ref="X1084:X1085"/>
    <mergeCell ref="AT1084:AT1085"/>
    <mergeCell ref="N1084:N1085"/>
    <mergeCell ref="O1084:O1085"/>
    <mergeCell ref="P1084:P1085"/>
    <mergeCell ref="Q1084:Q1085"/>
    <mergeCell ref="R1084:R1085"/>
    <mergeCell ref="S1084:S1085"/>
    <mergeCell ref="H1084:H1085"/>
    <mergeCell ref="I1084:I1085"/>
    <mergeCell ref="J1084:J1085"/>
    <mergeCell ref="K1084:K1085"/>
    <mergeCell ref="L1084:L1085"/>
    <mergeCell ref="M1084:M1085"/>
    <mergeCell ref="BJ1078:BJ1079"/>
    <mergeCell ref="BK1078:BK1079"/>
    <mergeCell ref="BL1078:BL1079"/>
    <mergeCell ref="BM1078:BM1079"/>
    <mergeCell ref="A1084:A1085"/>
    <mergeCell ref="B1084:B1085"/>
    <mergeCell ref="C1084:C1085"/>
    <mergeCell ref="D1084:D1085"/>
    <mergeCell ref="F1084:F1085"/>
    <mergeCell ref="G1084:G1085"/>
    <mergeCell ref="BD1078:BD1079"/>
    <mergeCell ref="BE1078:BE1079"/>
    <mergeCell ref="BF1078:BF1079"/>
    <mergeCell ref="BG1078:BG1079"/>
    <mergeCell ref="BH1078:BH1079"/>
    <mergeCell ref="BI1078:BI1079"/>
    <mergeCell ref="AV1078:AV1079"/>
    <mergeCell ref="AX1078:AX1079"/>
    <mergeCell ref="AY1078:AY1079"/>
    <mergeCell ref="BA1078:BA1079"/>
    <mergeCell ref="BB1078:BB1079"/>
    <mergeCell ref="BC1078:BC1079"/>
    <mergeCell ref="U1078:U1079"/>
    <mergeCell ref="V1078:V1079"/>
    <mergeCell ref="W1078:W1079"/>
    <mergeCell ref="X1078:X1079"/>
    <mergeCell ref="AT1078:AT1079"/>
    <mergeCell ref="AU1078:AU1079"/>
    <mergeCell ref="O1078:O1079"/>
    <mergeCell ref="P1078:P1079"/>
    <mergeCell ref="Q1078:Q1079"/>
    <mergeCell ref="R1078:R1079"/>
    <mergeCell ref="S1078:S1079"/>
    <mergeCell ref="T1078:T1079"/>
    <mergeCell ref="I1078:I1079"/>
    <mergeCell ref="J1078:J1079"/>
    <mergeCell ref="K1078:K1079"/>
    <mergeCell ref="L1078:L1079"/>
    <mergeCell ref="M1078:M1079"/>
    <mergeCell ref="N1078:N1079"/>
    <mergeCell ref="A1078:A1079"/>
    <mergeCell ref="B1078:B1079"/>
    <mergeCell ref="D1078:D1079"/>
    <mergeCell ref="F1078:F1079"/>
    <mergeCell ref="G1078:G1079"/>
    <mergeCell ref="H1078:H1079"/>
    <mergeCell ref="BH1052:BH1053"/>
    <mergeCell ref="BI1052:BI1053"/>
    <mergeCell ref="BJ1052:BJ1053"/>
    <mergeCell ref="BK1052:BK1053"/>
    <mergeCell ref="BL1052:BL1053"/>
    <mergeCell ref="BM1052:BM1053"/>
    <mergeCell ref="BB1052:BB1053"/>
    <mergeCell ref="BC1052:BC1053"/>
    <mergeCell ref="BD1052:BD1053"/>
    <mergeCell ref="BE1052:BE1053"/>
    <mergeCell ref="BF1052:BF1053"/>
    <mergeCell ref="BG1052:BG1053"/>
    <mergeCell ref="AT1052:AT1053"/>
    <mergeCell ref="AU1052:AU1053"/>
    <mergeCell ref="AV1052:AV1053"/>
    <mergeCell ref="AX1052:AX1053"/>
    <mergeCell ref="AY1052:AY1053"/>
    <mergeCell ref="BA1052:BA1053"/>
    <mergeCell ref="S1052:S1053"/>
    <mergeCell ref="T1052:T1053"/>
    <mergeCell ref="U1052:U1053"/>
    <mergeCell ref="V1052:V1053"/>
    <mergeCell ref="W1052:W1053"/>
    <mergeCell ref="X1052:X1053"/>
    <mergeCell ref="M1052:M1053"/>
    <mergeCell ref="N1052:N1053"/>
    <mergeCell ref="O1052:O1053"/>
    <mergeCell ref="P1052:P1053"/>
    <mergeCell ref="Q1052:Q1053"/>
    <mergeCell ref="R1052:R1053"/>
    <mergeCell ref="G1052:G1053"/>
    <mergeCell ref="H1052:H1053"/>
    <mergeCell ref="I1052:I1053"/>
    <mergeCell ref="J1052:J1053"/>
    <mergeCell ref="K1052:K1053"/>
    <mergeCell ref="L1052:L1053"/>
    <mergeCell ref="BI1041:BI1042"/>
    <mergeCell ref="BJ1041:BJ1042"/>
    <mergeCell ref="BK1041:BK1042"/>
    <mergeCell ref="BL1041:BL1042"/>
    <mergeCell ref="BM1041:BM1042"/>
    <mergeCell ref="A1052:A1053"/>
    <mergeCell ref="B1052:B1053"/>
    <mergeCell ref="C1052:C1053"/>
    <mergeCell ref="D1052:D1053"/>
    <mergeCell ref="F1052:F1053"/>
    <mergeCell ref="BC1041:BC1042"/>
    <mergeCell ref="BD1041:BD1042"/>
    <mergeCell ref="BE1041:BE1042"/>
    <mergeCell ref="BF1041:BF1042"/>
    <mergeCell ref="BG1041:BG1042"/>
    <mergeCell ref="BH1041:BH1042"/>
    <mergeCell ref="AU1041:AU1042"/>
    <mergeCell ref="AV1041:AV1042"/>
    <mergeCell ref="AX1041:AX1042"/>
    <mergeCell ref="AY1041:AY1042"/>
    <mergeCell ref="BA1041:BA1042"/>
    <mergeCell ref="BB1041:BB1042"/>
    <mergeCell ref="T1041:T1042"/>
    <mergeCell ref="U1041:U1042"/>
    <mergeCell ref="V1041:V1042"/>
    <mergeCell ref="W1041:W1042"/>
    <mergeCell ref="X1041:X1042"/>
    <mergeCell ref="AT1041:AT1042"/>
    <mergeCell ref="N1041:N1042"/>
    <mergeCell ref="O1041:O1042"/>
    <mergeCell ref="P1041:P1042"/>
    <mergeCell ref="Q1041:Q1042"/>
    <mergeCell ref="R1041:R1042"/>
    <mergeCell ref="S1041:S1042"/>
    <mergeCell ref="H1041:H1042"/>
    <mergeCell ref="I1041:I1042"/>
    <mergeCell ref="J1041:J1042"/>
    <mergeCell ref="K1041:K1042"/>
    <mergeCell ref="L1041:L1042"/>
    <mergeCell ref="M1041:M1042"/>
    <mergeCell ref="BI1014:BI1015"/>
    <mergeCell ref="BJ1014:BJ1015"/>
    <mergeCell ref="BK1014:BK1015"/>
    <mergeCell ref="BL1014:BL1015"/>
    <mergeCell ref="BM1014:BM1015"/>
    <mergeCell ref="A1041:A1042"/>
    <mergeCell ref="B1041:B1042"/>
    <mergeCell ref="D1041:D1042"/>
    <mergeCell ref="F1041:F1042"/>
    <mergeCell ref="G1041:G1042"/>
    <mergeCell ref="BC1014:BC1015"/>
    <mergeCell ref="BD1014:BD1015"/>
    <mergeCell ref="BE1014:BE1015"/>
    <mergeCell ref="BF1014:BF1015"/>
    <mergeCell ref="BG1014:BG1015"/>
    <mergeCell ref="BH1014:BH1015"/>
    <mergeCell ref="AU1014:AU1015"/>
    <mergeCell ref="AV1014:AV1015"/>
    <mergeCell ref="AX1014:AX1015"/>
    <mergeCell ref="AY1014:AY1015"/>
    <mergeCell ref="BA1014:BA1015"/>
    <mergeCell ref="BB1014:BB1015"/>
    <mergeCell ref="T1014:T1015"/>
    <mergeCell ref="U1014:U1015"/>
    <mergeCell ref="V1014:V1015"/>
    <mergeCell ref="W1014:W1015"/>
    <mergeCell ref="X1014:X1015"/>
    <mergeCell ref="AT1014:AT1015"/>
    <mergeCell ref="N1014:N1015"/>
    <mergeCell ref="O1014:O1015"/>
    <mergeCell ref="P1014:P1015"/>
    <mergeCell ref="Q1014:Q1015"/>
    <mergeCell ref="R1014:R1015"/>
    <mergeCell ref="S1014:S1015"/>
    <mergeCell ref="H1014:H1015"/>
    <mergeCell ref="I1014:I1015"/>
    <mergeCell ref="J1014:J1015"/>
    <mergeCell ref="K1014:K1015"/>
    <mergeCell ref="L1014:L1015"/>
    <mergeCell ref="M1014:M1015"/>
    <mergeCell ref="BI1012:BI1013"/>
    <mergeCell ref="BJ1012:BJ1013"/>
    <mergeCell ref="BK1012:BK1013"/>
    <mergeCell ref="BL1012:BL1013"/>
    <mergeCell ref="BM1012:BM1013"/>
    <mergeCell ref="A1014:A1015"/>
    <mergeCell ref="B1014:B1015"/>
    <mergeCell ref="D1014:D1015"/>
    <mergeCell ref="F1014:F1015"/>
    <mergeCell ref="G1014:G1015"/>
    <mergeCell ref="BC1012:BC1013"/>
    <mergeCell ref="BD1012:BD1013"/>
    <mergeCell ref="BE1012:BE1013"/>
    <mergeCell ref="BF1012:BF1013"/>
    <mergeCell ref="BG1012:BG1013"/>
    <mergeCell ref="BH1012:BH1013"/>
    <mergeCell ref="AU1012:AU1013"/>
    <mergeCell ref="AV1012:AV1013"/>
    <mergeCell ref="AX1012:AX1013"/>
    <mergeCell ref="AY1012:AY1013"/>
    <mergeCell ref="BA1012:BA1013"/>
    <mergeCell ref="BB1012:BB1013"/>
    <mergeCell ref="T1012:T1013"/>
    <mergeCell ref="U1012:U1013"/>
    <mergeCell ref="V1012:V1013"/>
    <mergeCell ref="W1012:W1013"/>
    <mergeCell ref="X1012:X1013"/>
    <mergeCell ref="AT1012:AT1013"/>
    <mergeCell ref="N1012:N1013"/>
    <mergeCell ref="O1012:O1013"/>
    <mergeCell ref="P1012:P1013"/>
    <mergeCell ref="Q1012:Q1013"/>
    <mergeCell ref="R1012:R1013"/>
    <mergeCell ref="S1012:S1013"/>
    <mergeCell ref="H1012:H1013"/>
    <mergeCell ref="I1012:I1013"/>
    <mergeCell ref="J1012:J1013"/>
    <mergeCell ref="K1012:K1013"/>
    <mergeCell ref="L1012:L1013"/>
    <mergeCell ref="M1012:M1013"/>
    <mergeCell ref="BI1001:BI1002"/>
    <mergeCell ref="BJ1001:BJ1002"/>
    <mergeCell ref="BK1001:BK1002"/>
    <mergeCell ref="BL1001:BL1002"/>
    <mergeCell ref="BM1001:BM1002"/>
    <mergeCell ref="A1012:A1013"/>
    <mergeCell ref="B1012:B1013"/>
    <mergeCell ref="D1012:D1013"/>
    <mergeCell ref="F1012:F1013"/>
    <mergeCell ref="G1012:G1013"/>
    <mergeCell ref="BC1001:BC1002"/>
    <mergeCell ref="BD1001:BD1002"/>
    <mergeCell ref="BE1001:BE1002"/>
    <mergeCell ref="BF1001:BF1002"/>
    <mergeCell ref="BG1001:BG1002"/>
    <mergeCell ref="BH1001:BH1002"/>
    <mergeCell ref="AU1001:AU1002"/>
    <mergeCell ref="AV1001:AV1002"/>
    <mergeCell ref="AX1001:AX1002"/>
    <mergeCell ref="AY1001:AY1002"/>
    <mergeCell ref="BA1001:BA1002"/>
    <mergeCell ref="BB1001:BB1002"/>
    <mergeCell ref="T1001:T1002"/>
    <mergeCell ref="U1001:U1002"/>
    <mergeCell ref="V1001:V1002"/>
    <mergeCell ref="W1001:W1002"/>
    <mergeCell ref="X1001:X1002"/>
    <mergeCell ref="AT1001:AT1002"/>
    <mergeCell ref="N1001:N1002"/>
    <mergeCell ref="O1001:O1002"/>
    <mergeCell ref="P1001:P1002"/>
    <mergeCell ref="Q1001:Q1002"/>
    <mergeCell ref="R1001:R1002"/>
    <mergeCell ref="S1001:S1002"/>
    <mergeCell ref="H1001:H1002"/>
    <mergeCell ref="I1001:I1002"/>
    <mergeCell ref="J1001:J1002"/>
    <mergeCell ref="K1001:K1002"/>
    <mergeCell ref="L1001:L1002"/>
    <mergeCell ref="M1001:M1002"/>
    <mergeCell ref="BJ953:BJ954"/>
    <mergeCell ref="BK953:BK954"/>
    <mergeCell ref="BL953:BL954"/>
    <mergeCell ref="BM953:BM954"/>
    <mergeCell ref="A1001:A1002"/>
    <mergeCell ref="B1001:B1002"/>
    <mergeCell ref="C1001:C1002"/>
    <mergeCell ref="D1001:D1002"/>
    <mergeCell ref="F1001:F1002"/>
    <mergeCell ref="G1001:G1002"/>
    <mergeCell ref="BD953:BD954"/>
    <mergeCell ref="BE953:BE954"/>
    <mergeCell ref="BF953:BF954"/>
    <mergeCell ref="BG953:BG954"/>
    <mergeCell ref="BH953:BH954"/>
    <mergeCell ref="BI953:BI954"/>
    <mergeCell ref="AV953:AV954"/>
    <mergeCell ref="AX953:AX954"/>
    <mergeCell ref="AY953:AY954"/>
    <mergeCell ref="BA953:BA954"/>
    <mergeCell ref="BB953:BB954"/>
    <mergeCell ref="BC953:BC954"/>
    <mergeCell ref="U953:U954"/>
    <mergeCell ref="V953:V954"/>
    <mergeCell ref="W953:W954"/>
    <mergeCell ref="X953:X954"/>
    <mergeCell ref="AT953:AT954"/>
    <mergeCell ref="AU953:AU954"/>
    <mergeCell ref="O953:O954"/>
    <mergeCell ref="P953:P954"/>
    <mergeCell ref="Q953:Q954"/>
    <mergeCell ref="R953:R954"/>
    <mergeCell ref="S953:S954"/>
    <mergeCell ref="T953:T954"/>
    <mergeCell ref="I953:I954"/>
    <mergeCell ref="J953:J954"/>
    <mergeCell ref="K953:K954"/>
    <mergeCell ref="L953:L954"/>
    <mergeCell ref="M953:M954"/>
    <mergeCell ref="N953:N954"/>
    <mergeCell ref="BJ950:BJ951"/>
    <mergeCell ref="BK950:BK951"/>
    <mergeCell ref="BL950:BL951"/>
    <mergeCell ref="BM950:BM951"/>
    <mergeCell ref="A953:A954"/>
    <mergeCell ref="B953:B954"/>
    <mergeCell ref="D953:D954"/>
    <mergeCell ref="F953:F954"/>
    <mergeCell ref="G953:G954"/>
    <mergeCell ref="H953:H954"/>
    <mergeCell ref="BD950:BD951"/>
    <mergeCell ref="BE950:BE951"/>
    <mergeCell ref="BF950:BF951"/>
    <mergeCell ref="BG950:BG951"/>
    <mergeCell ref="BH950:BH951"/>
    <mergeCell ref="BI950:BI951"/>
    <mergeCell ref="AV950:AV951"/>
    <mergeCell ref="AX950:AX951"/>
    <mergeCell ref="AY950:AY951"/>
    <mergeCell ref="BA950:BA951"/>
    <mergeCell ref="BB950:BB951"/>
    <mergeCell ref="BC950:BC951"/>
    <mergeCell ref="U950:U951"/>
    <mergeCell ref="V950:V951"/>
    <mergeCell ref="W950:W951"/>
    <mergeCell ref="X950:X951"/>
    <mergeCell ref="AT950:AT951"/>
    <mergeCell ref="AU950:AU951"/>
    <mergeCell ref="O950:O951"/>
    <mergeCell ref="P950:P951"/>
    <mergeCell ref="Q950:Q951"/>
    <mergeCell ref="R950:R951"/>
    <mergeCell ref="S950:S951"/>
    <mergeCell ref="T950:T951"/>
    <mergeCell ref="I950:I951"/>
    <mergeCell ref="J950:J951"/>
    <mergeCell ref="K950:K951"/>
    <mergeCell ref="L950:L951"/>
    <mergeCell ref="M950:M951"/>
    <mergeCell ref="N950:N951"/>
    <mergeCell ref="BJ945:BJ946"/>
    <mergeCell ref="BK945:BK946"/>
    <mergeCell ref="BL945:BL946"/>
    <mergeCell ref="BM945:BM946"/>
    <mergeCell ref="A950:A951"/>
    <mergeCell ref="B950:B951"/>
    <mergeCell ref="D950:D951"/>
    <mergeCell ref="F950:F951"/>
    <mergeCell ref="G950:G951"/>
    <mergeCell ref="H950:H951"/>
    <mergeCell ref="BD945:BD946"/>
    <mergeCell ref="BE945:BE946"/>
    <mergeCell ref="BF945:BF946"/>
    <mergeCell ref="BG945:BG946"/>
    <mergeCell ref="BH945:BH946"/>
    <mergeCell ref="BI945:BI946"/>
    <mergeCell ref="AV945:AV946"/>
    <mergeCell ref="AX945:AX946"/>
    <mergeCell ref="AY945:AY946"/>
    <mergeCell ref="BA945:BA946"/>
    <mergeCell ref="BB945:BB946"/>
    <mergeCell ref="BC945:BC946"/>
    <mergeCell ref="U945:U946"/>
    <mergeCell ref="V945:V946"/>
    <mergeCell ref="W945:W946"/>
    <mergeCell ref="X945:X946"/>
    <mergeCell ref="AT945:AT946"/>
    <mergeCell ref="AU945:AU946"/>
    <mergeCell ref="O945:O946"/>
    <mergeCell ref="P945:P946"/>
    <mergeCell ref="Q945:Q946"/>
    <mergeCell ref="R945:R946"/>
    <mergeCell ref="S945:S946"/>
    <mergeCell ref="T945:T946"/>
    <mergeCell ref="BJ921:BJ922"/>
    <mergeCell ref="BK921:BK922"/>
    <mergeCell ref="BL921:BL922"/>
    <mergeCell ref="BM921:BM922"/>
    <mergeCell ref="A945:A946"/>
    <mergeCell ref="B945:B946"/>
    <mergeCell ref="D945:D946"/>
    <mergeCell ref="H945:H946"/>
    <mergeCell ref="K945:K946"/>
    <mergeCell ref="N945:N946"/>
    <mergeCell ref="BD921:BD922"/>
    <mergeCell ref="BE921:BE922"/>
    <mergeCell ref="BF921:BF922"/>
    <mergeCell ref="BG921:BG922"/>
    <mergeCell ref="BH921:BH922"/>
    <mergeCell ref="BI921:BI922"/>
    <mergeCell ref="AV921:AV922"/>
    <mergeCell ref="AX921:AX922"/>
    <mergeCell ref="AY921:AY922"/>
    <mergeCell ref="BA921:BA922"/>
    <mergeCell ref="BB921:BB922"/>
    <mergeCell ref="BC921:BC922"/>
    <mergeCell ref="U921:U922"/>
    <mergeCell ref="V921:V922"/>
    <mergeCell ref="W921:W922"/>
    <mergeCell ref="X921:X922"/>
    <mergeCell ref="AT921:AT922"/>
    <mergeCell ref="AU921:AU922"/>
    <mergeCell ref="O921:O922"/>
    <mergeCell ref="P921:P922"/>
    <mergeCell ref="Q921:Q922"/>
    <mergeCell ref="R921:R922"/>
    <mergeCell ref="S921:S922"/>
    <mergeCell ref="T921:T922"/>
    <mergeCell ref="I921:I922"/>
    <mergeCell ref="J921:J922"/>
    <mergeCell ref="K921:K922"/>
    <mergeCell ref="L921:L922"/>
    <mergeCell ref="M921:M922"/>
    <mergeCell ref="N921:N922"/>
    <mergeCell ref="BJ890:BJ891"/>
    <mergeCell ref="BK890:BK891"/>
    <mergeCell ref="BL890:BL891"/>
    <mergeCell ref="BM890:BM891"/>
    <mergeCell ref="A921:A922"/>
    <mergeCell ref="B921:B922"/>
    <mergeCell ref="D921:D922"/>
    <mergeCell ref="F921:F922"/>
    <mergeCell ref="G921:G922"/>
    <mergeCell ref="H921:H922"/>
    <mergeCell ref="BD890:BD891"/>
    <mergeCell ref="BE890:BE891"/>
    <mergeCell ref="BF890:BF891"/>
    <mergeCell ref="BG890:BG891"/>
    <mergeCell ref="BH890:BH891"/>
    <mergeCell ref="BI890:BI891"/>
    <mergeCell ref="AV890:AV891"/>
    <mergeCell ref="AX890:AX891"/>
    <mergeCell ref="AY890:AY891"/>
    <mergeCell ref="BA890:BA891"/>
    <mergeCell ref="BB890:BB891"/>
    <mergeCell ref="BC890:BC891"/>
    <mergeCell ref="U890:U891"/>
    <mergeCell ref="V890:V891"/>
    <mergeCell ref="W890:W891"/>
    <mergeCell ref="X890:X891"/>
    <mergeCell ref="AT890:AT891"/>
    <mergeCell ref="AU890:AU891"/>
    <mergeCell ref="O890:O891"/>
    <mergeCell ref="P890:P891"/>
    <mergeCell ref="Q890:Q891"/>
    <mergeCell ref="R890:R891"/>
    <mergeCell ref="S890:S891"/>
    <mergeCell ref="T890:T891"/>
    <mergeCell ref="I890:I891"/>
    <mergeCell ref="J890:J891"/>
    <mergeCell ref="K890:K891"/>
    <mergeCell ref="L890:L891"/>
    <mergeCell ref="M890:M891"/>
    <mergeCell ref="N890:N891"/>
    <mergeCell ref="BJ874:BJ875"/>
    <mergeCell ref="BK874:BK875"/>
    <mergeCell ref="BL874:BL875"/>
    <mergeCell ref="BM874:BM875"/>
    <mergeCell ref="A890:A891"/>
    <mergeCell ref="B890:B891"/>
    <mergeCell ref="D890:D891"/>
    <mergeCell ref="F890:F891"/>
    <mergeCell ref="G890:G891"/>
    <mergeCell ref="H890:H891"/>
    <mergeCell ref="BD874:BD875"/>
    <mergeCell ref="BE874:BE875"/>
    <mergeCell ref="BF874:BF875"/>
    <mergeCell ref="BG874:BG875"/>
    <mergeCell ref="BH874:BH875"/>
    <mergeCell ref="BI874:BI875"/>
    <mergeCell ref="AV874:AV875"/>
    <mergeCell ref="AX874:AX875"/>
    <mergeCell ref="AY874:AY875"/>
    <mergeCell ref="BA874:BA875"/>
    <mergeCell ref="BB874:BB875"/>
    <mergeCell ref="BC874:BC875"/>
    <mergeCell ref="U874:U875"/>
    <mergeCell ref="V874:V875"/>
    <mergeCell ref="W874:W875"/>
    <mergeCell ref="X874:X875"/>
    <mergeCell ref="AT874:AT875"/>
    <mergeCell ref="AU874:AU875"/>
    <mergeCell ref="O874:O875"/>
    <mergeCell ref="P874:P875"/>
    <mergeCell ref="Q874:Q875"/>
    <mergeCell ref="R874:R875"/>
    <mergeCell ref="S874:S875"/>
    <mergeCell ref="T874:T875"/>
    <mergeCell ref="I874:I875"/>
    <mergeCell ref="J874:J875"/>
    <mergeCell ref="K874:K875"/>
    <mergeCell ref="L874:L875"/>
    <mergeCell ref="M874:M875"/>
    <mergeCell ref="N874:N875"/>
    <mergeCell ref="BJ857:BJ858"/>
    <mergeCell ref="BK857:BK858"/>
    <mergeCell ref="BL857:BL858"/>
    <mergeCell ref="BM857:BM858"/>
    <mergeCell ref="A874:A875"/>
    <mergeCell ref="B874:B875"/>
    <mergeCell ref="D874:D875"/>
    <mergeCell ref="F874:F875"/>
    <mergeCell ref="G874:G875"/>
    <mergeCell ref="H874:H875"/>
    <mergeCell ref="BD857:BD858"/>
    <mergeCell ref="BE857:BE858"/>
    <mergeCell ref="BF857:BF858"/>
    <mergeCell ref="BG857:BG858"/>
    <mergeCell ref="BH857:BH858"/>
    <mergeCell ref="BI857:BI858"/>
    <mergeCell ref="AV857:AV858"/>
    <mergeCell ref="AX857:AX858"/>
    <mergeCell ref="AY857:AY858"/>
    <mergeCell ref="BA857:BA858"/>
    <mergeCell ref="BB857:BB858"/>
    <mergeCell ref="BC857:BC858"/>
    <mergeCell ref="U857:U858"/>
    <mergeCell ref="V857:V858"/>
    <mergeCell ref="W857:W858"/>
    <mergeCell ref="X857:X858"/>
    <mergeCell ref="AT857:AT858"/>
    <mergeCell ref="AU857:AU858"/>
    <mergeCell ref="O857:O858"/>
    <mergeCell ref="P857:P858"/>
    <mergeCell ref="Q857:Q858"/>
    <mergeCell ref="R857:R858"/>
    <mergeCell ref="S857:S858"/>
    <mergeCell ref="T857:T858"/>
    <mergeCell ref="I857:I858"/>
    <mergeCell ref="J857:J858"/>
    <mergeCell ref="K857:K858"/>
    <mergeCell ref="L857:L858"/>
    <mergeCell ref="M857:M858"/>
    <mergeCell ref="N857:N858"/>
    <mergeCell ref="BJ836:BJ837"/>
    <mergeCell ref="BK836:BK837"/>
    <mergeCell ref="BL836:BL837"/>
    <mergeCell ref="BM836:BM837"/>
    <mergeCell ref="A857:A858"/>
    <mergeCell ref="B857:B858"/>
    <mergeCell ref="D857:D858"/>
    <mergeCell ref="F857:F858"/>
    <mergeCell ref="G857:G858"/>
    <mergeCell ref="H857:H858"/>
    <mergeCell ref="BD836:BD837"/>
    <mergeCell ref="BE836:BE837"/>
    <mergeCell ref="BF836:BF837"/>
    <mergeCell ref="BG836:BG837"/>
    <mergeCell ref="BH836:BH837"/>
    <mergeCell ref="BI836:BI837"/>
    <mergeCell ref="AV836:AV837"/>
    <mergeCell ref="AX836:AX837"/>
    <mergeCell ref="AY836:AY837"/>
    <mergeCell ref="BA836:BA837"/>
    <mergeCell ref="BB836:BB837"/>
    <mergeCell ref="BC836:BC837"/>
    <mergeCell ref="U836:U837"/>
    <mergeCell ref="V836:V837"/>
    <mergeCell ref="W836:W837"/>
    <mergeCell ref="X836:X837"/>
    <mergeCell ref="AT836:AT837"/>
    <mergeCell ref="AU836:AU837"/>
    <mergeCell ref="O836:O837"/>
    <mergeCell ref="P836:P837"/>
    <mergeCell ref="Q836:Q837"/>
    <mergeCell ref="R836:R837"/>
    <mergeCell ref="S836:S837"/>
    <mergeCell ref="T836:T837"/>
    <mergeCell ref="I836:I837"/>
    <mergeCell ref="J836:J837"/>
    <mergeCell ref="K836:K837"/>
    <mergeCell ref="L836:L837"/>
    <mergeCell ref="M836:M837"/>
    <mergeCell ref="N836:N837"/>
    <mergeCell ref="BJ831:BJ832"/>
    <mergeCell ref="BK831:BK832"/>
    <mergeCell ref="BL831:BL832"/>
    <mergeCell ref="BM831:BM832"/>
    <mergeCell ref="A836:A837"/>
    <mergeCell ref="B836:B837"/>
    <mergeCell ref="D836:D837"/>
    <mergeCell ref="F836:F837"/>
    <mergeCell ref="G836:G837"/>
    <mergeCell ref="H836:H837"/>
    <mergeCell ref="BD831:BD832"/>
    <mergeCell ref="BE831:BE832"/>
    <mergeCell ref="BF831:BF832"/>
    <mergeCell ref="BG831:BG832"/>
    <mergeCell ref="BH831:BH832"/>
    <mergeCell ref="BI831:BI832"/>
    <mergeCell ref="AW831:AW832"/>
    <mergeCell ref="AX831:AX832"/>
    <mergeCell ref="AY831:AY832"/>
    <mergeCell ref="BA831:BA832"/>
    <mergeCell ref="BB831:BB832"/>
    <mergeCell ref="BC831:BC832"/>
    <mergeCell ref="U831:U832"/>
    <mergeCell ref="V831:V832"/>
    <mergeCell ref="W831:W832"/>
    <mergeCell ref="X831:X832"/>
    <mergeCell ref="AU831:AU832"/>
    <mergeCell ref="AV831:AV832"/>
    <mergeCell ref="O831:O832"/>
    <mergeCell ref="P831:P832"/>
    <mergeCell ref="Q831:Q832"/>
    <mergeCell ref="R831:R832"/>
    <mergeCell ref="S831:S832"/>
    <mergeCell ref="T831:T832"/>
    <mergeCell ref="AW791:AW792"/>
    <mergeCell ref="AX791:AX792"/>
    <mergeCell ref="AY791:AY792"/>
    <mergeCell ref="A831:A832"/>
    <mergeCell ref="B831:B832"/>
    <mergeCell ref="D831:D832"/>
    <mergeCell ref="F831:F832"/>
    <mergeCell ref="H831:H832"/>
    <mergeCell ref="K831:K832"/>
    <mergeCell ref="N831:N832"/>
    <mergeCell ref="V791:V792"/>
    <mergeCell ref="W791:W792"/>
    <mergeCell ref="X791:X792"/>
    <mergeCell ref="AT791:AT792"/>
    <mergeCell ref="AU791:AU792"/>
    <mergeCell ref="AV791:AV792"/>
    <mergeCell ref="P791:P792"/>
    <mergeCell ref="Q791:Q792"/>
    <mergeCell ref="R791:R792"/>
    <mergeCell ref="S791:S792"/>
    <mergeCell ref="T791:T792"/>
    <mergeCell ref="U791:U792"/>
    <mergeCell ref="J791:J792"/>
    <mergeCell ref="K791:K792"/>
    <mergeCell ref="L791:L792"/>
    <mergeCell ref="M791:M792"/>
    <mergeCell ref="N791:N792"/>
    <mergeCell ref="O791:O792"/>
    <mergeCell ref="BK760:BK761"/>
    <mergeCell ref="BL760:BL761"/>
    <mergeCell ref="BM760:BM761"/>
    <mergeCell ref="A791:A792"/>
    <mergeCell ref="B791:B792"/>
    <mergeCell ref="D791:D792"/>
    <mergeCell ref="F791:F792"/>
    <mergeCell ref="G791:G792"/>
    <mergeCell ref="H791:H792"/>
    <mergeCell ref="I791:I792"/>
    <mergeCell ref="BE760:BE761"/>
    <mergeCell ref="BF760:BF761"/>
    <mergeCell ref="BG760:BG761"/>
    <mergeCell ref="BH760:BH761"/>
    <mergeCell ref="BI760:BI761"/>
    <mergeCell ref="BJ760:BJ761"/>
    <mergeCell ref="AX760:AX761"/>
    <mergeCell ref="AY760:AY761"/>
    <mergeCell ref="BA760:BA761"/>
    <mergeCell ref="BB760:BB761"/>
    <mergeCell ref="BC760:BC761"/>
    <mergeCell ref="BD760:BD761"/>
    <mergeCell ref="V760:V761"/>
    <mergeCell ref="W760:W761"/>
    <mergeCell ref="X760:X761"/>
    <mergeCell ref="AT760:AT761"/>
    <mergeCell ref="AU760:AU761"/>
    <mergeCell ref="AV760:AV761"/>
    <mergeCell ref="P760:P761"/>
    <mergeCell ref="Q760:Q761"/>
    <mergeCell ref="R760:R761"/>
    <mergeCell ref="S760:S761"/>
    <mergeCell ref="T760:T761"/>
    <mergeCell ref="U760:U761"/>
    <mergeCell ref="J760:J761"/>
    <mergeCell ref="K760:K761"/>
    <mergeCell ref="L760:L761"/>
    <mergeCell ref="M760:M761"/>
    <mergeCell ref="N760:N761"/>
    <mergeCell ref="O760:O761"/>
    <mergeCell ref="BK748:BK749"/>
    <mergeCell ref="BL748:BL749"/>
    <mergeCell ref="BM748:BM749"/>
    <mergeCell ref="A760:A761"/>
    <mergeCell ref="B760:B761"/>
    <mergeCell ref="D760:D761"/>
    <mergeCell ref="F760:F761"/>
    <mergeCell ref="G760:G761"/>
    <mergeCell ref="H760:H761"/>
    <mergeCell ref="I760:I761"/>
    <mergeCell ref="BE748:BE749"/>
    <mergeCell ref="BF748:BF749"/>
    <mergeCell ref="BG748:BG749"/>
    <mergeCell ref="BH748:BH749"/>
    <mergeCell ref="BI748:BI749"/>
    <mergeCell ref="BJ748:BJ749"/>
    <mergeCell ref="AX748:AX749"/>
    <mergeCell ref="AY748:AY749"/>
    <mergeCell ref="BA748:BA749"/>
    <mergeCell ref="BB748:BB749"/>
    <mergeCell ref="BC748:BC749"/>
    <mergeCell ref="BD748:BD749"/>
    <mergeCell ref="V748:V749"/>
    <mergeCell ref="W748:W749"/>
    <mergeCell ref="X748:X749"/>
    <mergeCell ref="AU748:AU749"/>
    <mergeCell ref="AV748:AV749"/>
    <mergeCell ref="AW748:AW749"/>
    <mergeCell ref="P748:P749"/>
    <mergeCell ref="Q748:Q749"/>
    <mergeCell ref="R748:R749"/>
    <mergeCell ref="S748:S749"/>
    <mergeCell ref="T748:T749"/>
    <mergeCell ref="U748:U749"/>
    <mergeCell ref="BK730:BK731"/>
    <mergeCell ref="BL730:BL731"/>
    <mergeCell ref="BM730:BM731"/>
    <mergeCell ref="A748:A749"/>
    <mergeCell ref="B748:B749"/>
    <mergeCell ref="D748:D749"/>
    <mergeCell ref="H748:H749"/>
    <mergeCell ref="K748:K749"/>
    <mergeCell ref="N748:N749"/>
    <mergeCell ref="O748:O749"/>
    <mergeCell ref="BE730:BE731"/>
    <mergeCell ref="BF730:BF731"/>
    <mergeCell ref="BG730:BG731"/>
    <mergeCell ref="BH730:BH731"/>
    <mergeCell ref="BI730:BI731"/>
    <mergeCell ref="BJ730:BJ731"/>
    <mergeCell ref="AX730:AX731"/>
    <mergeCell ref="AY730:AY731"/>
    <mergeCell ref="BA730:BA731"/>
    <mergeCell ref="BB730:BB731"/>
    <mergeCell ref="BC730:BC731"/>
    <mergeCell ref="BD730:BD731"/>
    <mergeCell ref="V730:V731"/>
    <mergeCell ref="W730:W731"/>
    <mergeCell ref="X730:X731"/>
    <mergeCell ref="AT730:AT731"/>
    <mergeCell ref="AU730:AU731"/>
    <mergeCell ref="AV730:AV731"/>
    <mergeCell ref="P730:P731"/>
    <mergeCell ref="Q730:Q731"/>
    <mergeCell ref="R730:R731"/>
    <mergeCell ref="S730:S731"/>
    <mergeCell ref="T730:T731"/>
    <mergeCell ref="U730:U731"/>
    <mergeCell ref="J730:J731"/>
    <mergeCell ref="K730:K731"/>
    <mergeCell ref="L730:L731"/>
    <mergeCell ref="M730:M731"/>
    <mergeCell ref="N730:N731"/>
    <mergeCell ref="O730:O731"/>
    <mergeCell ref="BJ714:BJ715"/>
    <mergeCell ref="BK714:BK715"/>
    <mergeCell ref="BL714:BL715"/>
    <mergeCell ref="BM714:BM715"/>
    <mergeCell ref="A730:A731"/>
    <mergeCell ref="B730:B731"/>
    <mergeCell ref="D730:D731"/>
    <mergeCell ref="F730:F731"/>
    <mergeCell ref="H730:H731"/>
    <mergeCell ref="I730:I731"/>
    <mergeCell ref="BD714:BD715"/>
    <mergeCell ref="BE714:BE715"/>
    <mergeCell ref="BF714:BF715"/>
    <mergeCell ref="BG714:BG715"/>
    <mergeCell ref="BH714:BH715"/>
    <mergeCell ref="BI714:BI715"/>
    <mergeCell ref="AV714:AV715"/>
    <mergeCell ref="AX714:AX715"/>
    <mergeCell ref="AY714:AY715"/>
    <mergeCell ref="BA714:BA715"/>
    <mergeCell ref="BB714:BB715"/>
    <mergeCell ref="BC714:BC715"/>
    <mergeCell ref="U714:U715"/>
    <mergeCell ref="V714:V715"/>
    <mergeCell ref="W714:W715"/>
    <mergeCell ref="X714:X715"/>
    <mergeCell ref="AT714:AT715"/>
    <mergeCell ref="AU714:AU715"/>
    <mergeCell ref="O714:O715"/>
    <mergeCell ref="P714:P715"/>
    <mergeCell ref="Q714:Q715"/>
    <mergeCell ref="R714:R715"/>
    <mergeCell ref="S714:S715"/>
    <mergeCell ref="T714:T715"/>
    <mergeCell ref="BK700:BK702"/>
    <mergeCell ref="BL700:BL702"/>
    <mergeCell ref="BM700:BM702"/>
    <mergeCell ref="A714:A715"/>
    <mergeCell ref="B714:B715"/>
    <mergeCell ref="D714:D715"/>
    <mergeCell ref="H714:H715"/>
    <mergeCell ref="J714:J715"/>
    <mergeCell ref="K714:K715"/>
    <mergeCell ref="N714:N715"/>
    <mergeCell ref="BE700:BE702"/>
    <mergeCell ref="BF700:BF702"/>
    <mergeCell ref="BG700:BG702"/>
    <mergeCell ref="BH700:BH702"/>
    <mergeCell ref="BI700:BI702"/>
    <mergeCell ref="BJ700:BJ702"/>
    <mergeCell ref="AX700:AX702"/>
    <mergeCell ref="AY700:AY702"/>
    <mergeCell ref="BA700:BA702"/>
    <mergeCell ref="BB700:BB702"/>
    <mergeCell ref="BC700:BC702"/>
    <mergeCell ref="BD700:BD702"/>
    <mergeCell ref="V700:V702"/>
    <mergeCell ref="W700:W702"/>
    <mergeCell ref="X700:X702"/>
    <mergeCell ref="AT700:AT702"/>
    <mergeCell ref="AU700:AU702"/>
    <mergeCell ref="AV700:AV702"/>
    <mergeCell ref="P700:P702"/>
    <mergeCell ref="Q700:Q702"/>
    <mergeCell ref="R700:R702"/>
    <mergeCell ref="S700:S702"/>
    <mergeCell ref="T700:T702"/>
    <mergeCell ref="U700:U702"/>
    <mergeCell ref="J700:J702"/>
    <mergeCell ref="K700:K702"/>
    <mergeCell ref="L700:L702"/>
    <mergeCell ref="M700:M702"/>
    <mergeCell ref="N700:N702"/>
    <mergeCell ref="O700:O702"/>
    <mergeCell ref="BK698:BK699"/>
    <mergeCell ref="BL698:BL699"/>
    <mergeCell ref="BM698:BM699"/>
    <mergeCell ref="A700:A702"/>
    <mergeCell ref="B700:B702"/>
    <mergeCell ref="D700:D702"/>
    <mergeCell ref="F700:F702"/>
    <mergeCell ref="G700:G702"/>
    <mergeCell ref="H700:H702"/>
    <mergeCell ref="I700:I702"/>
    <mergeCell ref="BE698:BE699"/>
    <mergeCell ref="BF698:BF699"/>
    <mergeCell ref="BG698:BG699"/>
    <mergeCell ref="BH698:BH699"/>
    <mergeCell ref="BI698:BI699"/>
    <mergeCell ref="BJ698:BJ699"/>
    <mergeCell ref="AX698:AX699"/>
    <mergeCell ref="AY698:AY699"/>
    <mergeCell ref="BA698:BA699"/>
    <mergeCell ref="BB698:BB699"/>
    <mergeCell ref="BC698:BC699"/>
    <mergeCell ref="BD698:BD699"/>
    <mergeCell ref="W698:W699"/>
    <mergeCell ref="X698:X699"/>
    <mergeCell ref="AT698:AT699"/>
    <mergeCell ref="AU698:AU699"/>
    <mergeCell ref="AV698:AV699"/>
    <mergeCell ref="AW698:AW699"/>
    <mergeCell ref="Q698:Q699"/>
    <mergeCell ref="R698:R699"/>
    <mergeCell ref="S698:S699"/>
    <mergeCell ref="T698:T699"/>
    <mergeCell ref="U698:U699"/>
    <mergeCell ref="V698:V699"/>
    <mergeCell ref="H698:H699"/>
    <mergeCell ref="J698:J699"/>
    <mergeCell ref="K698:K699"/>
    <mergeCell ref="N698:N699"/>
    <mergeCell ref="O698:O699"/>
    <mergeCell ref="P698:P699"/>
    <mergeCell ref="BI691:BI692"/>
    <mergeCell ref="BJ691:BJ692"/>
    <mergeCell ref="BK691:BK692"/>
    <mergeCell ref="BL691:BL692"/>
    <mergeCell ref="BM691:BM692"/>
    <mergeCell ref="A698:A699"/>
    <mergeCell ref="B698:B699"/>
    <mergeCell ref="D698:D699"/>
    <mergeCell ref="F698:F699"/>
    <mergeCell ref="G698:G699"/>
    <mergeCell ref="BC691:BC692"/>
    <mergeCell ref="BD691:BD692"/>
    <mergeCell ref="BE691:BE692"/>
    <mergeCell ref="BF691:BF692"/>
    <mergeCell ref="BG691:BG692"/>
    <mergeCell ref="BH691:BH692"/>
    <mergeCell ref="AU691:AU692"/>
    <mergeCell ref="AV691:AV692"/>
    <mergeCell ref="AX691:AX692"/>
    <mergeCell ref="AY691:AY692"/>
    <mergeCell ref="BA691:BA692"/>
    <mergeCell ref="BB691:BB692"/>
    <mergeCell ref="T691:T692"/>
    <mergeCell ref="U691:U692"/>
    <mergeCell ref="V691:V692"/>
    <mergeCell ref="W691:W692"/>
    <mergeCell ref="X691:X692"/>
    <mergeCell ref="AT691:AT692"/>
    <mergeCell ref="N691:N692"/>
    <mergeCell ref="O691:O692"/>
    <mergeCell ref="P691:P692"/>
    <mergeCell ref="Q691:Q692"/>
    <mergeCell ref="R691:R692"/>
    <mergeCell ref="S691:S692"/>
    <mergeCell ref="H691:H692"/>
    <mergeCell ref="I691:I692"/>
    <mergeCell ref="J691:J692"/>
    <mergeCell ref="K691:K692"/>
    <mergeCell ref="L691:L692"/>
    <mergeCell ref="M691:M692"/>
    <mergeCell ref="BI659:BI660"/>
    <mergeCell ref="BJ659:BJ660"/>
    <mergeCell ref="BK659:BK660"/>
    <mergeCell ref="BL659:BL660"/>
    <mergeCell ref="BM659:BM660"/>
    <mergeCell ref="A691:A692"/>
    <mergeCell ref="B691:B692"/>
    <mergeCell ref="D691:D692"/>
    <mergeCell ref="F691:F692"/>
    <mergeCell ref="G691:G692"/>
    <mergeCell ref="BC659:BC660"/>
    <mergeCell ref="BD659:BD660"/>
    <mergeCell ref="BE659:BE660"/>
    <mergeCell ref="BF659:BF660"/>
    <mergeCell ref="BG659:BG660"/>
    <mergeCell ref="BH659:BH660"/>
    <mergeCell ref="AU659:AU660"/>
    <mergeCell ref="AV659:AV660"/>
    <mergeCell ref="AX659:AX660"/>
    <mergeCell ref="AY659:AY660"/>
    <mergeCell ref="BA659:BA660"/>
    <mergeCell ref="BB659:BB660"/>
    <mergeCell ref="S659:S660"/>
    <mergeCell ref="T659:T660"/>
    <mergeCell ref="U659:U660"/>
    <mergeCell ref="V659:V660"/>
    <mergeCell ref="W659:W660"/>
    <mergeCell ref="X659:X660"/>
    <mergeCell ref="K659:K660"/>
    <mergeCell ref="N659:N660"/>
    <mergeCell ref="O659:O660"/>
    <mergeCell ref="P659:P660"/>
    <mergeCell ref="Q659:Q660"/>
    <mergeCell ref="R659:R660"/>
    <mergeCell ref="BI646:BI647"/>
    <mergeCell ref="BJ646:BJ647"/>
    <mergeCell ref="BK646:BK647"/>
    <mergeCell ref="BL646:BL647"/>
    <mergeCell ref="BM646:BM647"/>
    <mergeCell ref="A659:A660"/>
    <mergeCell ref="B659:B660"/>
    <mergeCell ref="D659:D660"/>
    <mergeCell ref="F659:F660"/>
    <mergeCell ref="H659:H660"/>
    <mergeCell ref="BC646:BC647"/>
    <mergeCell ref="BD646:BD647"/>
    <mergeCell ref="BE646:BE647"/>
    <mergeCell ref="BF646:BF647"/>
    <mergeCell ref="BG646:BG647"/>
    <mergeCell ref="BH646:BH647"/>
    <mergeCell ref="AV646:AV647"/>
    <mergeCell ref="AW646:AW647"/>
    <mergeCell ref="AX646:AX647"/>
    <mergeCell ref="AY646:AY647"/>
    <mergeCell ref="BA646:BA647"/>
    <mergeCell ref="BB646:BB647"/>
    <mergeCell ref="U646:U647"/>
    <mergeCell ref="V646:V647"/>
    <mergeCell ref="W646:W647"/>
    <mergeCell ref="X646:X647"/>
    <mergeCell ref="AT646:AT647"/>
    <mergeCell ref="AU646:AU647"/>
    <mergeCell ref="O646:O647"/>
    <mergeCell ref="P646:P647"/>
    <mergeCell ref="Q646:Q647"/>
    <mergeCell ref="R646:R647"/>
    <mergeCell ref="S646:S647"/>
    <mergeCell ref="T646:T647"/>
    <mergeCell ref="I646:I647"/>
    <mergeCell ref="J646:J647"/>
    <mergeCell ref="K646:K647"/>
    <mergeCell ref="L646:L647"/>
    <mergeCell ref="M646:M647"/>
    <mergeCell ref="N646:N647"/>
    <mergeCell ref="BJ635:BJ636"/>
    <mergeCell ref="BK635:BK636"/>
    <mergeCell ref="BL635:BL636"/>
    <mergeCell ref="BM635:BM636"/>
    <mergeCell ref="A646:A647"/>
    <mergeCell ref="B646:B647"/>
    <mergeCell ref="D646:D647"/>
    <mergeCell ref="F646:F647"/>
    <mergeCell ref="G646:G647"/>
    <mergeCell ref="H646:H647"/>
    <mergeCell ref="BD635:BD636"/>
    <mergeCell ref="BE635:BE636"/>
    <mergeCell ref="BF635:BF636"/>
    <mergeCell ref="BG635:BG636"/>
    <mergeCell ref="BH635:BH636"/>
    <mergeCell ref="BI635:BI636"/>
    <mergeCell ref="AV635:AV636"/>
    <mergeCell ref="AX635:AX636"/>
    <mergeCell ref="AY635:AY636"/>
    <mergeCell ref="BA635:BA636"/>
    <mergeCell ref="BB635:BB636"/>
    <mergeCell ref="BC635:BC636"/>
    <mergeCell ref="U635:U636"/>
    <mergeCell ref="V635:V636"/>
    <mergeCell ref="W635:W636"/>
    <mergeCell ref="X635:X636"/>
    <mergeCell ref="AT635:AT636"/>
    <mergeCell ref="AU635:AU636"/>
    <mergeCell ref="O635:O636"/>
    <mergeCell ref="P635:P636"/>
    <mergeCell ref="Q635:Q636"/>
    <mergeCell ref="R635:R636"/>
    <mergeCell ref="S635:S636"/>
    <mergeCell ref="T635:T636"/>
    <mergeCell ref="I635:I636"/>
    <mergeCell ref="J635:J636"/>
    <mergeCell ref="K635:K636"/>
    <mergeCell ref="L635:L636"/>
    <mergeCell ref="M635:M636"/>
    <mergeCell ref="N635:N636"/>
    <mergeCell ref="A635:A636"/>
    <mergeCell ref="B635:B636"/>
    <mergeCell ref="D635:D636"/>
    <mergeCell ref="F635:F636"/>
    <mergeCell ref="G635:G636"/>
    <mergeCell ref="H635:H636"/>
    <mergeCell ref="BH626:BH627"/>
    <mergeCell ref="BI626:BI627"/>
    <mergeCell ref="BJ626:BJ627"/>
    <mergeCell ref="BK626:BK627"/>
    <mergeCell ref="BL626:BL627"/>
    <mergeCell ref="BM626:BM627"/>
    <mergeCell ref="BB626:BB627"/>
    <mergeCell ref="BC626:BC627"/>
    <mergeCell ref="BD626:BD627"/>
    <mergeCell ref="BE626:BE627"/>
    <mergeCell ref="BF626:BF627"/>
    <mergeCell ref="BG626:BG627"/>
    <mergeCell ref="AU626:AU627"/>
    <mergeCell ref="AV626:AV627"/>
    <mergeCell ref="AW626:AW627"/>
    <mergeCell ref="AX626:AX627"/>
    <mergeCell ref="AY626:AY627"/>
    <mergeCell ref="BA626:BA627"/>
    <mergeCell ref="T626:T627"/>
    <mergeCell ref="U626:U627"/>
    <mergeCell ref="V626:V627"/>
    <mergeCell ref="W626:W627"/>
    <mergeCell ref="X626:X627"/>
    <mergeCell ref="AT626:AT627"/>
    <mergeCell ref="N626:N627"/>
    <mergeCell ref="O626:O627"/>
    <mergeCell ref="P626:P627"/>
    <mergeCell ref="Q626:Q627"/>
    <mergeCell ref="R626:R627"/>
    <mergeCell ref="S626:S627"/>
    <mergeCell ref="H626:H627"/>
    <mergeCell ref="I626:I627"/>
    <mergeCell ref="J626:J627"/>
    <mergeCell ref="K626:K627"/>
    <mergeCell ref="L626:L627"/>
    <mergeCell ref="M626:M627"/>
    <mergeCell ref="BJ603:BJ604"/>
    <mergeCell ref="BK603:BK604"/>
    <mergeCell ref="BL603:BL604"/>
    <mergeCell ref="BM603:BM604"/>
    <mergeCell ref="A626:A627"/>
    <mergeCell ref="B626:B627"/>
    <mergeCell ref="C626:C627"/>
    <mergeCell ref="D626:D627"/>
    <mergeCell ref="F626:F627"/>
    <mergeCell ref="G626:G627"/>
    <mergeCell ref="BD603:BD604"/>
    <mergeCell ref="BE603:BE604"/>
    <mergeCell ref="BF603:BF604"/>
    <mergeCell ref="BG603:BG604"/>
    <mergeCell ref="BH603:BH604"/>
    <mergeCell ref="BI603:BI604"/>
    <mergeCell ref="AV603:AV604"/>
    <mergeCell ref="AX603:AX604"/>
    <mergeCell ref="AY603:AY604"/>
    <mergeCell ref="BA603:BA604"/>
    <mergeCell ref="BB603:BB604"/>
    <mergeCell ref="BC603:BC604"/>
    <mergeCell ref="U603:U604"/>
    <mergeCell ref="V603:V604"/>
    <mergeCell ref="W603:W604"/>
    <mergeCell ref="X603:X604"/>
    <mergeCell ref="AT603:AT604"/>
    <mergeCell ref="AU603:AU604"/>
    <mergeCell ref="O603:O604"/>
    <mergeCell ref="P603:P604"/>
    <mergeCell ref="Q603:Q604"/>
    <mergeCell ref="R603:R604"/>
    <mergeCell ref="S603:S604"/>
    <mergeCell ref="T603:T604"/>
    <mergeCell ref="I603:I604"/>
    <mergeCell ref="J603:J604"/>
    <mergeCell ref="K603:K604"/>
    <mergeCell ref="L603:L604"/>
    <mergeCell ref="M603:M604"/>
    <mergeCell ref="N603:N604"/>
    <mergeCell ref="A603:A604"/>
    <mergeCell ref="B603:B604"/>
    <mergeCell ref="D603:D604"/>
    <mergeCell ref="F603:F604"/>
    <mergeCell ref="G603:G604"/>
    <mergeCell ref="H603:H604"/>
    <mergeCell ref="BH599:BH600"/>
    <mergeCell ref="BI599:BI600"/>
    <mergeCell ref="BJ599:BJ600"/>
    <mergeCell ref="BK599:BK600"/>
    <mergeCell ref="BL599:BL600"/>
    <mergeCell ref="BM599:BM600"/>
    <mergeCell ref="BB599:BB600"/>
    <mergeCell ref="BC599:BC600"/>
    <mergeCell ref="BD599:BD600"/>
    <mergeCell ref="BE599:BE600"/>
    <mergeCell ref="BF599:BF600"/>
    <mergeCell ref="BG599:BG600"/>
    <mergeCell ref="AU599:AU600"/>
    <mergeCell ref="AV599:AV600"/>
    <mergeCell ref="AW599:AW600"/>
    <mergeCell ref="AX599:AX600"/>
    <mergeCell ref="AY599:AY600"/>
    <mergeCell ref="BA599:BA600"/>
    <mergeCell ref="T599:T600"/>
    <mergeCell ref="U599:U600"/>
    <mergeCell ref="V599:V600"/>
    <mergeCell ref="W599:W600"/>
    <mergeCell ref="X599:X600"/>
    <mergeCell ref="AT599:AT600"/>
    <mergeCell ref="N599:N600"/>
    <mergeCell ref="O599:O600"/>
    <mergeCell ref="P599:P600"/>
    <mergeCell ref="Q599:Q600"/>
    <mergeCell ref="R599:R600"/>
    <mergeCell ref="S599:S600"/>
    <mergeCell ref="H599:H600"/>
    <mergeCell ref="I599:I600"/>
    <mergeCell ref="J599:J600"/>
    <mergeCell ref="K599:K600"/>
    <mergeCell ref="L599:L600"/>
    <mergeCell ref="M599:M600"/>
    <mergeCell ref="AU572:AU573"/>
    <mergeCell ref="AV572:AV573"/>
    <mergeCell ref="AX572:AX573"/>
    <mergeCell ref="AY572:AY573"/>
    <mergeCell ref="A599:A600"/>
    <mergeCell ref="B599:B600"/>
    <mergeCell ref="C599:C600"/>
    <mergeCell ref="D599:D600"/>
    <mergeCell ref="F599:F600"/>
    <mergeCell ref="G599:G600"/>
    <mergeCell ref="T572:T573"/>
    <mergeCell ref="U572:U573"/>
    <mergeCell ref="V572:V573"/>
    <mergeCell ref="W572:W573"/>
    <mergeCell ref="X572:X573"/>
    <mergeCell ref="AT572:AT573"/>
    <mergeCell ref="N572:N573"/>
    <mergeCell ref="O572:O573"/>
    <mergeCell ref="P572:P573"/>
    <mergeCell ref="Q572:Q573"/>
    <mergeCell ref="R572:R573"/>
    <mergeCell ref="S572:S573"/>
    <mergeCell ref="H572:H573"/>
    <mergeCell ref="I572:I573"/>
    <mergeCell ref="J572:J573"/>
    <mergeCell ref="K572:K573"/>
    <mergeCell ref="L572:L573"/>
    <mergeCell ref="M572:M573"/>
    <mergeCell ref="BI564:BI565"/>
    <mergeCell ref="BJ564:BJ565"/>
    <mergeCell ref="BK564:BK565"/>
    <mergeCell ref="BL564:BL565"/>
    <mergeCell ref="BM564:BM565"/>
    <mergeCell ref="A572:A573"/>
    <mergeCell ref="B572:B573"/>
    <mergeCell ref="D572:D573"/>
    <mergeCell ref="F572:F573"/>
    <mergeCell ref="G572:G573"/>
    <mergeCell ref="BC564:BC565"/>
    <mergeCell ref="BD564:BD565"/>
    <mergeCell ref="BE564:BE565"/>
    <mergeCell ref="BF564:BF565"/>
    <mergeCell ref="BG564:BG565"/>
    <mergeCell ref="BH564:BH565"/>
    <mergeCell ref="AU564:AU565"/>
    <mergeCell ref="AV564:AV565"/>
    <mergeCell ref="AX564:AX565"/>
    <mergeCell ref="AY564:AY565"/>
    <mergeCell ref="BA564:BA565"/>
    <mergeCell ref="BB564:BB565"/>
    <mergeCell ref="T564:T565"/>
    <mergeCell ref="U564:U565"/>
    <mergeCell ref="V564:V565"/>
    <mergeCell ref="W564:W565"/>
    <mergeCell ref="X564:X565"/>
    <mergeCell ref="AT564:AT565"/>
    <mergeCell ref="N564:N565"/>
    <mergeCell ref="O564:O565"/>
    <mergeCell ref="P564:P565"/>
    <mergeCell ref="Q564:Q565"/>
    <mergeCell ref="R564:R565"/>
    <mergeCell ref="S564:S565"/>
    <mergeCell ref="BK543:BK544"/>
    <mergeCell ref="BL543:BL544"/>
    <mergeCell ref="BM543:BM544"/>
    <mergeCell ref="A564:A565"/>
    <mergeCell ref="B564:B565"/>
    <mergeCell ref="D564:D565"/>
    <mergeCell ref="F564:F565"/>
    <mergeCell ref="H564:H565"/>
    <mergeCell ref="J564:J565"/>
    <mergeCell ref="K564:K565"/>
    <mergeCell ref="BE543:BE544"/>
    <mergeCell ref="BF543:BF544"/>
    <mergeCell ref="BG543:BG544"/>
    <mergeCell ref="BH543:BH544"/>
    <mergeCell ref="BI543:BI544"/>
    <mergeCell ref="BJ543:BJ544"/>
    <mergeCell ref="AV543:AV544"/>
    <mergeCell ref="AW543:AW544"/>
    <mergeCell ref="BA543:BA544"/>
    <mergeCell ref="BB543:BB544"/>
    <mergeCell ref="BC543:BC544"/>
    <mergeCell ref="BD543:BD544"/>
    <mergeCell ref="U543:U544"/>
    <mergeCell ref="V543:V544"/>
    <mergeCell ref="W543:W544"/>
    <mergeCell ref="X543:X544"/>
    <mergeCell ref="AT543:AT544"/>
    <mergeCell ref="AU543:AU544"/>
    <mergeCell ref="O543:O544"/>
    <mergeCell ref="P543:P544"/>
    <mergeCell ref="Q543:Q544"/>
    <mergeCell ref="R543:R544"/>
    <mergeCell ref="S543:S544"/>
    <mergeCell ref="T543:T544"/>
    <mergeCell ref="I543:I544"/>
    <mergeCell ref="J543:J544"/>
    <mergeCell ref="K543:K544"/>
    <mergeCell ref="L543:L544"/>
    <mergeCell ref="M543:M544"/>
    <mergeCell ref="N543:N544"/>
    <mergeCell ref="BI481:BI482"/>
    <mergeCell ref="BJ481:BJ482"/>
    <mergeCell ref="BK481:BK482"/>
    <mergeCell ref="BL481:BL482"/>
    <mergeCell ref="BM481:BM482"/>
    <mergeCell ref="A543:A544"/>
    <mergeCell ref="B543:B544"/>
    <mergeCell ref="F543:F544"/>
    <mergeCell ref="G543:G544"/>
    <mergeCell ref="H543:H544"/>
    <mergeCell ref="BC481:BC482"/>
    <mergeCell ref="BD481:BD482"/>
    <mergeCell ref="BE481:BE482"/>
    <mergeCell ref="BF481:BF482"/>
    <mergeCell ref="BG481:BG482"/>
    <mergeCell ref="BH481:BH482"/>
    <mergeCell ref="AU481:AU482"/>
    <mergeCell ref="AV481:AV482"/>
    <mergeCell ref="AX481:AX482"/>
    <mergeCell ref="AY481:AY482"/>
    <mergeCell ref="BA481:BA482"/>
    <mergeCell ref="BB481:BB482"/>
    <mergeCell ref="S481:S482"/>
    <mergeCell ref="T481:T482"/>
    <mergeCell ref="U481:U482"/>
    <mergeCell ref="V481:V482"/>
    <mergeCell ref="W481:W482"/>
    <mergeCell ref="X481:X482"/>
    <mergeCell ref="M481:M482"/>
    <mergeCell ref="N481:N482"/>
    <mergeCell ref="O481:O482"/>
    <mergeCell ref="P481:P482"/>
    <mergeCell ref="Q481:Q482"/>
    <mergeCell ref="R481:R482"/>
    <mergeCell ref="BM475:BM476"/>
    <mergeCell ref="A481:A482"/>
    <mergeCell ref="B481:B482"/>
    <mergeCell ref="F481:F482"/>
    <mergeCell ref="G481:G482"/>
    <mergeCell ref="H481:H482"/>
    <mergeCell ref="I481:I482"/>
    <mergeCell ref="J481:J482"/>
    <mergeCell ref="K481:K482"/>
    <mergeCell ref="L481:L482"/>
    <mergeCell ref="BG475:BG476"/>
    <mergeCell ref="BH475:BH476"/>
    <mergeCell ref="BI475:BI476"/>
    <mergeCell ref="BJ475:BJ476"/>
    <mergeCell ref="BK475:BK476"/>
    <mergeCell ref="BL475:BL476"/>
    <mergeCell ref="BA475:BA476"/>
    <mergeCell ref="BB475:BB476"/>
    <mergeCell ref="BC475:BC476"/>
    <mergeCell ref="BD475:BD476"/>
    <mergeCell ref="BE475:BE476"/>
    <mergeCell ref="BF475:BF476"/>
    <mergeCell ref="W475:W476"/>
    <mergeCell ref="X475:X476"/>
    <mergeCell ref="AU475:AU476"/>
    <mergeCell ref="AV475:AV476"/>
    <mergeCell ref="AX475:AX476"/>
    <mergeCell ref="AY475:AY476"/>
    <mergeCell ref="Q475:Q476"/>
    <mergeCell ref="R475:R476"/>
    <mergeCell ref="S475:S476"/>
    <mergeCell ref="T475:T476"/>
    <mergeCell ref="U475:U476"/>
    <mergeCell ref="V475:V476"/>
    <mergeCell ref="K475:K476"/>
    <mergeCell ref="L475:L476"/>
    <mergeCell ref="M475:M476"/>
    <mergeCell ref="N475:N476"/>
    <mergeCell ref="O475:O476"/>
    <mergeCell ref="P475:P476"/>
    <mergeCell ref="BK455:BK456"/>
    <mergeCell ref="BL455:BL456"/>
    <mergeCell ref="BM455:BM456"/>
    <mergeCell ref="A475:A476"/>
    <mergeCell ref="B475:B476"/>
    <mergeCell ref="F475:F476"/>
    <mergeCell ref="G475:G476"/>
    <mergeCell ref="H475:H476"/>
    <mergeCell ref="I475:I476"/>
    <mergeCell ref="J475:J476"/>
    <mergeCell ref="BE455:BE456"/>
    <mergeCell ref="BF455:BF456"/>
    <mergeCell ref="BG455:BG456"/>
    <mergeCell ref="BH455:BH456"/>
    <mergeCell ref="BI455:BI456"/>
    <mergeCell ref="BJ455:BJ456"/>
    <mergeCell ref="AX455:AX456"/>
    <mergeCell ref="AY455:AY456"/>
    <mergeCell ref="BA455:BA456"/>
    <mergeCell ref="BB455:BB456"/>
    <mergeCell ref="BC455:BC456"/>
    <mergeCell ref="BD455:BD456"/>
    <mergeCell ref="U455:U456"/>
    <mergeCell ref="V455:V456"/>
    <mergeCell ref="W455:W456"/>
    <mergeCell ref="X455:X456"/>
    <mergeCell ref="AU455:AU456"/>
    <mergeCell ref="AV455:AV456"/>
    <mergeCell ref="O455:O456"/>
    <mergeCell ref="P455:P456"/>
    <mergeCell ref="Q455:Q456"/>
    <mergeCell ref="R455:R456"/>
    <mergeCell ref="S455:S456"/>
    <mergeCell ref="T455:T456"/>
    <mergeCell ref="I455:I456"/>
    <mergeCell ref="J455:J456"/>
    <mergeCell ref="K455:K456"/>
    <mergeCell ref="L455:L456"/>
    <mergeCell ref="M455:M456"/>
    <mergeCell ref="N455:N456"/>
    <mergeCell ref="A455:A456"/>
    <mergeCell ref="B455:B456"/>
    <mergeCell ref="D455:D456"/>
    <mergeCell ref="F455:F456"/>
    <mergeCell ref="G455:G456"/>
    <mergeCell ref="H455:H456"/>
    <mergeCell ref="BH434:BH435"/>
    <mergeCell ref="BI434:BI435"/>
    <mergeCell ref="BJ434:BJ435"/>
    <mergeCell ref="BK434:BK435"/>
    <mergeCell ref="BL434:BL435"/>
    <mergeCell ref="BM434:BM435"/>
    <mergeCell ref="BB434:BB435"/>
    <mergeCell ref="BC434:BC435"/>
    <mergeCell ref="BD434:BD435"/>
    <mergeCell ref="BE434:BE435"/>
    <mergeCell ref="BF434:BF435"/>
    <mergeCell ref="BG434:BG435"/>
    <mergeCell ref="X434:X435"/>
    <mergeCell ref="AU434:AU435"/>
    <mergeCell ref="AV434:AV435"/>
    <mergeCell ref="AX434:AX435"/>
    <mergeCell ref="AY434:AY435"/>
    <mergeCell ref="BA434:BA435"/>
    <mergeCell ref="R434:R435"/>
    <mergeCell ref="S434:S435"/>
    <mergeCell ref="T434:T435"/>
    <mergeCell ref="U434:U435"/>
    <mergeCell ref="V434:V435"/>
    <mergeCell ref="W434:W435"/>
    <mergeCell ref="L434:L435"/>
    <mergeCell ref="M434:M435"/>
    <mergeCell ref="N434:N435"/>
    <mergeCell ref="O434:O435"/>
    <mergeCell ref="P434:P435"/>
    <mergeCell ref="Q434:Q435"/>
    <mergeCell ref="BL426:BL427"/>
    <mergeCell ref="BM426:BM427"/>
    <mergeCell ref="A434:A435"/>
    <mergeCell ref="B434:B435"/>
    <mergeCell ref="F434:F435"/>
    <mergeCell ref="G434:G435"/>
    <mergeCell ref="H434:H435"/>
    <mergeCell ref="I434:I435"/>
    <mergeCell ref="J434:J435"/>
    <mergeCell ref="K434:K435"/>
    <mergeCell ref="BF426:BF427"/>
    <mergeCell ref="BG426:BG427"/>
    <mergeCell ref="BH426:BH427"/>
    <mergeCell ref="BI426:BI427"/>
    <mergeCell ref="BJ426:BJ427"/>
    <mergeCell ref="BK426:BK427"/>
    <mergeCell ref="AY426:AY427"/>
    <mergeCell ref="BA426:BA427"/>
    <mergeCell ref="BB426:BB427"/>
    <mergeCell ref="BC426:BC427"/>
    <mergeCell ref="BD426:BD427"/>
    <mergeCell ref="BE426:BE427"/>
    <mergeCell ref="V426:V427"/>
    <mergeCell ref="W426:W427"/>
    <mergeCell ref="X426:X427"/>
    <mergeCell ref="AU426:AU427"/>
    <mergeCell ref="AV426:AV427"/>
    <mergeCell ref="AX426:AX427"/>
    <mergeCell ref="P426:P427"/>
    <mergeCell ref="Q426:Q427"/>
    <mergeCell ref="R426:R427"/>
    <mergeCell ref="S426:S427"/>
    <mergeCell ref="T426:T427"/>
    <mergeCell ref="U426:U427"/>
    <mergeCell ref="J426:J427"/>
    <mergeCell ref="K426:K427"/>
    <mergeCell ref="L426:L427"/>
    <mergeCell ref="M426:M427"/>
    <mergeCell ref="N426:N427"/>
    <mergeCell ref="O426:O427"/>
    <mergeCell ref="A426:A427"/>
    <mergeCell ref="B426:B427"/>
    <mergeCell ref="F426:F427"/>
    <mergeCell ref="G426:G427"/>
    <mergeCell ref="H426:H427"/>
    <mergeCell ref="I426:I427"/>
    <mergeCell ref="BH423:BH424"/>
    <mergeCell ref="BI423:BI424"/>
    <mergeCell ref="BJ423:BJ424"/>
    <mergeCell ref="BK423:BK424"/>
    <mergeCell ref="BL423:BL424"/>
    <mergeCell ref="BM423:BM424"/>
    <mergeCell ref="BB423:BB424"/>
    <mergeCell ref="BC423:BC424"/>
    <mergeCell ref="BD423:BD424"/>
    <mergeCell ref="BE423:BE424"/>
    <mergeCell ref="BF423:BF424"/>
    <mergeCell ref="BG423:BG424"/>
    <mergeCell ref="X423:X424"/>
    <mergeCell ref="AU423:AU424"/>
    <mergeCell ref="AV423:AV424"/>
    <mergeCell ref="AX423:AX424"/>
    <mergeCell ref="AY423:AY424"/>
    <mergeCell ref="BA423:BA424"/>
    <mergeCell ref="R423:R424"/>
    <mergeCell ref="S423:S424"/>
    <mergeCell ref="T423:T424"/>
    <mergeCell ref="U423:U424"/>
    <mergeCell ref="V423:V424"/>
    <mergeCell ref="W423:W424"/>
    <mergeCell ref="L423:L424"/>
    <mergeCell ref="M423:M424"/>
    <mergeCell ref="N423:N424"/>
    <mergeCell ref="O423:O424"/>
    <mergeCell ref="P423:P424"/>
    <mergeCell ref="Q423:Q424"/>
    <mergeCell ref="BL384:BL385"/>
    <mergeCell ref="BM384:BM385"/>
    <mergeCell ref="A423:A424"/>
    <mergeCell ref="B423:B424"/>
    <mergeCell ref="F423:F424"/>
    <mergeCell ref="G423:G424"/>
    <mergeCell ref="H423:H424"/>
    <mergeCell ref="I423:I424"/>
    <mergeCell ref="J423:J424"/>
    <mergeCell ref="K423:K424"/>
    <mergeCell ref="BF384:BF385"/>
    <mergeCell ref="BG384:BG385"/>
    <mergeCell ref="BH384:BH385"/>
    <mergeCell ref="BI384:BI385"/>
    <mergeCell ref="BJ384:BJ385"/>
    <mergeCell ref="BK384:BK385"/>
    <mergeCell ref="AY384:AY385"/>
    <mergeCell ref="BA384:BA385"/>
    <mergeCell ref="BB384:BB385"/>
    <mergeCell ref="BC384:BC385"/>
    <mergeCell ref="BD384:BD385"/>
    <mergeCell ref="BE384:BE385"/>
    <mergeCell ref="V384:V385"/>
    <mergeCell ref="W384:W385"/>
    <mergeCell ref="X384:X385"/>
    <mergeCell ref="AU384:AU385"/>
    <mergeCell ref="AV384:AV385"/>
    <mergeCell ref="AX384:AX385"/>
    <mergeCell ref="P384:P385"/>
    <mergeCell ref="Q384:Q385"/>
    <mergeCell ref="R384:R385"/>
    <mergeCell ref="S384:S385"/>
    <mergeCell ref="T384:T385"/>
    <mergeCell ref="U384:U385"/>
    <mergeCell ref="BM381:BM382"/>
    <mergeCell ref="A384:A385"/>
    <mergeCell ref="B384:B385"/>
    <mergeCell ref="D384:D385"/>
    <mergeCell ref="F384:F385"/>
    <mergeCell ref="H384:H385"/>
    <mergeCell ref="J384:J385"/>
    <mergeCell ref="K384:K385"/>
    <mergeCell ref="N384:N385"/>
    <mergeCell ref="O384:O385"/>
    <mergeCell ref="BG381:BG382"/>
    <mergeCell ref="BH381:BH382"/>
    <mergeCell ref="BI381:BI382"/>
    <mergeCell ref="BJ381:BJ382"/>
    <mergeCell ref="BK381:BK382"/>
    <mergeCell ref="BL381:BL382"/>
    <mergeCell ref="BA381:BA382"/>
    <mergeCell ref="BB381:BB382"/>
    <mergeCell ref="BC381:BC382"/>
    <mergeCell ref="BD381:BD382"/>
    <mergeCell ref="BE381:BE382"/>
    <mergeCell ref="BF381:BF382"/>
    <mergeCell ref="W381:W382"/>
    <mergeCell ref="X381:X382"/>
    <mergeCell ref="AU381:AU382"/>
    <mergeCell ref="AV381:AV382"/>
    <mergeCell ref="AX381:AX382"/>
    <mergeCell ref="AY381:AY382"/>
    <mergeCell ref="Q381:Q382"/>
    <mergeCell ref="R381:R382"/>
    <mergeCell ref="S381:S382"/>
    <mergeCell ref="T381:T382"/>
    <mergeCell ref="U381:U382"/>
    <mergeCell ref="V381:V382"/>
    <mergeCell ref="K381:K382"/>
    <mergeCell ref="L381:L382"/>
    <mergeCell ref="M381:M382"/>
    <mergeCell ref="N381:N382"/>
    <mergeCell ref="O381:O382"/>
    <mergeCell ref="P381:P382"/>
    <mergeCell ref="BM366:BM367"/>
    <mergeCell ref="A381:A382"/>
    <mergeCell ref="B381:B382"/>
    <mergeCell ref="C381:C382"/>
    <mergeCell ref="D381:D382"/>
    <mergeCell ref="F381:F382"/>
    <mergeCell ref="G381:G382"/>
    <mergeCell ref="H381:H382"/>
    <mergeCell ref="I381:I382"/>
    <mergeCell ref="J381:J382"/>
    <mergeCell ref="BG366:BG367"/>
    <mergeCell ref="BH366:BH367"/>
    <mergeCell ref="BI366:BI367"/>
    <mergeCell ref="BJ366:BJ367"/>
    <mergeCell ref="BK366:BK367"/>
    <mergeCell ref="BL366:BL367"/>
    <mergeCell ref="BA366:BA367"/>
    <mergeCell ref="BB366:BB367"/>
    <mergeCell ref="BC366:BC367"/>
    <mergeCell ref="BD366:BD367"/>
    <mergeCell ref="BE366:BE367"/>
    <mergeCell ref="BF366:BF367"/>
    <mergeCell ref="W366:W367"/>
    <mergeCell ref="X366:X367"/>
    <mergeCell ref="AU366:AU367"/>
    <mergeCell ref="AV366:AV367"/>
    <mergeCell ref="AX366:AX367"/>
    <mergeCell ref="AY366:AY367"/>
    <mergeCell ref="Q366:Q367"/>
    <mergeCell ref="R366:R367"/>
    <mergeCell ref="S366:S367"/>
    <mergeCell ref="T366:T367"/>
    <mergeCell ref="U366:U367"/>
    <mergeCell ref="V366:V367"/>
    <mergeCell ref="K366:K367"/>
    <mergeCell ref="L366:L367"/>
    <mergeCell ref="M366:M367"/>
    <mergeCell ref="N366:N367"/>
    <mergeCell ref="O366:O367"/>
    <mergeCell ref="P366:P367"/>
    <mergeCell ref="BK356:BK357"/>
    <mergeCell ref="BL356:BL357"/>
    <mergeCell ref="BM356:BM357"/>
    <mergeCell ref="A366:A367"/>
    <mergeCell ref="B366:B367"/>
    <mergeCell ref="F366:F367"/>
    <mergeCell ref="G366:G367"/>
    <mergeCell ref="H366:H367"/>
    <mergeCell ref="I366:I367"/>
    <mergeCell ref="J366:J367"/>
    <mergeCell ref="BE356:BE357"/>
    <mergeCell ref="BF356:BF357"/>
    <mergeCell ref="BG356:BG357"/>
    <mergeCell ref="BH356:BH357"/>
    <mergeCell ref="BI356:BI357"/>
    <mergeCell ref="BJ356:BJ357"/>
    <mergeCell ref="AY356:AY357"/>
    <mergeCell ref="AZ356:AZ357"/>
    <mergeCell ref="BA356:BA357"/>
    <mergeCell ref="BB356:BB357"/>
    <mergeCell ref="BC356:BC357"/>
    <mergeCell ref="BD356:BD357"/>
    <mergeCell ref="W356:W357"/>
    <mergeCell ref="X356:X357"/>
    <mergeCell ref="AU356:AU357"/>
    <mergeCell ref="AV356:AV357"/>
    <mergeCell ref="AW356:AW357"/>
    <mergeCell ref="AX356:AX357"/>
    <mergeCell ref="Q356:Q357"/>
    <mergeCell ref="R356:R357"/>
    <mergeCell ref="S356:S357"/>
    <mergeCell ref="T356:T357"/>
    <mergeCell ref="U356:U357"/>
    <mergeCell ref="V356:V357"/>
    <mergeCell ref="K356:K357"/>
    <mergeCell ref="L356:L357"/>
    <mergeCell ref="M356:M357"/>
    <mergeCell ref="N356:N357"/>
    <mergeCell ref="O356:O357"/>
    <mergeCell ref="P356:P357"/>
    <mergeCell ref="BM339:BM340"/>
    <mergeCell ref="A356:A357"/>
    <mergeCell ref="B356:B357"/>
    <mergeCell ref="C356:C357"/>
    <mergeCell ref="D356:D357"/>
    <mergeCell ref="F356:F357"/>
    <mergeCell ref="G356:G357"/>
    <mergeCell ref="H356:H357"/>
    <mergeCell ref="I356:I357"/>
    <mergeCell ref="J356:J357"/>
    <mergeCell ref="BG339:BG340"/>
    <mergeCell ref="BH339:BH340"/>
    <mergeCell ref="BI339:BI340"/>
    <mergeCell ref="BJ339:BJ340"/>
    <mergeCell ref="BK339:BK340"/>
    <mergeCell ref="BL339:BL340"/>
    <mergeCell ref="BA339:BA340"/>
    <mergeCell ref="BB339:BB340"/>
    <mergeCell ref="BC339:BC340"/>
    <mergeCell ref="BD339:BD340"/>
    <mergeCell ref="BE339:BE340"/>
    <mergeCell ref="BF339:BF340"/>
    <mergeCell ref="AU339:AU340"/>
    <mergeCell ref="AV339:AV340"/>
    <mergeCell ref="AW339:AW340"/>
    <mergeCell ref="AX339:AX340"/>
    <mergeCell ref="AY339:AY340"/>
    <mergeCell ref="AZ339:AZ340"/>
    <mergeCell ref="T339:T340"/>
    <mergeCell ref="U339:U340"/>
    <mergeCell ref="V339:V340"/>
    <mergeCell ref="W339:W340"/>
    <mergeCell ref="X339:X340"/>
    <mergeCell ref="AT339:AT340"/>
    <mergeCell ref="N339:N340"/>
    <mergeCell ref="O339:O340"/>
    <mergeCell ref="P339:P340"/>
    <mergeCell ref="Q339:Q340"/>
    <mergeCell ref="R339:R340"/>
    <mergeCell ref="S339:S340"/>
    <mergeCell ref="G339:G340"/>
    <mergeCell ref="H339:H340"/>
    <mergeCell ref="I339:I340"/>
    <mergeCell ref="J339:J340"/>
    <mergeCell ref="L339:L340"/>
    <mergeCell ref="M339:M340"/>
    <mergeCell ref="A339:A340"/>
    <mergeCell ref="B339:B340"/>
    <mergeCell ref="C339:C340"/>
    <mergeCell ref="D339:D340"/>
    <mergeCell ref="E339:E340"/>
    <mergeCell ref="F339:F340"/>
    <mergeCell ref="BH337:BH338"/>
    <mergeCell ref="BI337:BI338"/>
    <mergeCell ref="BJ337:BJ338"/>
    <mergeCell ref="BK337:BK338"/>
    <mergeCell ref="BL337:BL338"/>
    <mergeCell ref="BM337:BM338"/>
    <mergeCell ref="BB337:BB338"/>
    <mergeCell ref="BC337:BC338"/>
    <mergeCell ref="BD337:BD338"/>
    <mergeCell ref="BE337:BE338"/>
    <mergeCell ref="BF337:BF338"/>
    <mergeCell ref="BG337:BG338"/>
    <mergeCell ref="AV337:AV338"/>
    <mergeCell ref="AW337:AW338"/>
    <mergeCell ref="AX337:AX338"/>
    <mergeCell ref="AY337:AY338"/>
    <mergeCell ref="AZ337:AZ338"/>
    <mergeCell ref="BA337:BA338"/>
    <mergeCell ref="U337:U338"/>
    <mergeCell ref="V337:V338"/>
    <mergeCell ref="W337:W338"/>
    <mergeCell ref="X337:X338"/>
    <mergeCell ref="AT337:AT338"/>
    <mergeCell ref="AU337:AU338"/>
    <mergeCell ref="O337:O338"/>
    <mergeCell ref="P337:P338"/>
    <mergeCell ref="Q337:Q338"/>
    <mergeCell ref="R337:R338"/>
    <mergeCell ref="S337:S338"/>
    <mergeCell ref="T337:T338"/>
    <mergeCell ref="H337:H338"/>
    <mergeCell ref="I337:I338"/>
    <mergeCell ref="J337:J338"/>
    <mergeCell ref="L337:L338"/>
    <mergeCell ref="M337:M338"/>
    <mergeCell ref="N337:N338"/>
    <mergeCell ref="BK333:BK334"/>
    <mergeCell ref="BL333:BL334"/>
    <mergeCell ref="BM333:BM334"/>
    <mergeCell ref="A337:A338"/>
    <mergeCell ref="B337:B338"/>
    <mergeCell ref="C337:C338"/>
    <mergeCell ref="D337:D338"/>
    <mergeCell ref="E337:E338"/>
    <mergeCell ref="F337:F338"/>
    <mergeCell ref="G337:G338"/>
    <mergeCell ref="BE333:BE334"/>
    <mergeCell ref="BF333:BF334"/>
    <mergeCell ref="BG333:BG334"/>
    <mergeCell ref="BH333:BH334"/>
    <mergeCell ref="BI333:BI334"/>
    <mergeCell ref="BJ333:BJ334"/>
    <mergeCell ref="AX333:AX334"/>
    <mergeCell ref="AY333:AY334"/>
    <mergeCell ref="BA333:BA334"/>
    <mergeCell ref="BB333:BB334"/>
    <mergeCell ref="BC333:BC334"/>
    <mergeCell ref="BD333:BD334"/>
    <mergeCell ref="V333:V334"/>
    <mergeCell ref="W333:W334"/>
    <mergeCell ref="X333:X334"/>
    <mergeCell ref="AU333:AU334"/>
    <mergeCell ref="AV333:AV334"/>
    <mergeCell ref="AW333:AW334"/>
    <mergeCell ref="P333:P334"/>
    <mergeCell ref="Q333:Q334"/>
    <mergeCell ref="R333:R334"/>
    <mergeCell ref="S333:S334"/>
    <mergeCell ref="T333:T334"/>
    <mergeCell ref="U333:U334"/>
    <mergeCell ref="J333:J334"/>
    <mergeCell ref="K333:K334"/>
    <mergeCell ref="L333:L334"/>
    <mergeCell ref="M333:M334"/>
    <mergeCell ref="N333:N334"/>
    <mergeCell ref="O333:O334"/>
    <mergeCell ref="BL319:BL320"/>
    <mergeCell ref="BM319:BM320"/>
    <mergeCell ref="A333:A334"/>
    <mergeCell ref="B333:B334"/>
    <mergeCell ref="C333:C334"/>
    <mergeCell ref="D333:D334"/>
    <mergeCell ref="F333:F334"/>
    <mergeCell ref="G333:G334"/>
    <mergeCell ref="H333:H334"/>
    <mergeCell ref="I333:I334"/>
    <mergeCell ref="BF319:BF320"/>
    <mergeCell ref="BG319:BG320"/>
    <mergeCell ref="BH319:BH320"/>
    <mergeCell ref="BI319:BI320"/>
    <mergeCell ref="BJ319:BJ320"/>
    <mergeCell ref="BK319:BK320"/>
    <mergeCell ref="AY319:AY320"/>
    <mergeCell ref="BA319:BA320"/>
    <mergeCell ref="BB319:BB320"/>
    <mergeCell ref="BC319:BC320"/>
    <mergeCell ref="BD319:BD320"/>
    <mergeCell ref="BE319:BE320"/>
    <mergeCell ref="V319:V320"/>
    <mergeCell ref="W319:W320"/>
    <mergeCell ref="X319:X320"/>
    <mergeCell ref="AU319:AU320"/>
    <mergeCell ref="AV319:AV320"/>
    <mergeCell ref="AX319:AX320"/>
    <mergeCell ref="P319:P320"/>
    <mergeCell ref="Q319:Q320"/>
    <mergeCell ref="R319:R320"/>
    <mergeCell ref="S319:S320"/>
    <mergeCell ref="T319:T320"/>
    <mergeCell ref="U319:U320"/>
    <mergeCell ref="A319:A320"/>
    <mergeCell ref="B319:B320"/>
    <mergeCell ref="F319:F320"/>
    <mergeCell ref="H319:H320"/>
    <mergeCell ref="N319:N320"/>
    <mergeCell ref="O319:O320"/>
    <mergeCell ref="BL290:BL291"/>
    <mergeCell ref="BM290:BM291"/>
    <mergeCell ref="BF290:BF291"/>
    <mergeCell ref="BG290:BG291"/>
    <mergeCell ref="BH290:BH291"/>
    <mergeCell ref="BI290:BI291"/>
    <mergeCell ref="BJ290:BJ291"/>
    <mergeCell ref="BK290:BK291"/>
    <mergeCell ref="AZ290:AZ291"/>
    <mergeCell ref="BA290:BA291"/>
    <mergeCell ref="BB290:BB291"/>
    <mergeCell ref="BC290:BC291"/>
    <mergeCell ref="BD290:BD291"/>
    <mergeCell ref="BE290:BE291"/>
    <mergeCell ref="X290:X291"/>
    <mergeCell ref="AU290:AU291"/>
    <mergeCell ref="AV290:AV291"/>
    <mergeCell ref="AW290:AW291"/>
    <mergeCell ref="AX290:AX291"/>
    <mergeCell ref="AY290:AY291"/>
    <mergeCell ref="R290:R291"/>
    <mergeCell ref="S290:S291"/>
    <mergeCell ref="T290:T291"/>
    <mergeCell ref="U290:U291"/>
    <mergeCell ref="V290:V291"/>
    <mergeCell ref="W290:W291"/>
    <mergeCell ref="L290:L291"/>
    <mergeCell ref="M290:M291"/>
    <mergeCell ref="N290:N291"/>
    <mergeCell ref="O290:O291"/>
    <mergeCell ref="P290:P291"/>
    <mergeCell ref="Q290:Q291"/>
    <mergeCell ref="BL279:BL280"/>
    <mergeCell ref="BM279:BM280"/>
    <mergeCell ref="A290:A291"/>
    <mergeCell ref="B290:B291"/>
    <mergeCell ref="F290:F291"/>
    <mergeCell ref="G290:G291"/>
    <mergeCell ref="H290:H291"/>
    <mergeCell ref="I290:I291"/>
    <mergeCell ref="J290:J291"/>
    <mergeCell ref="K290:K291"/>
    <mergeCell ref="BF279:BF280"/>
    <mergeCell ref="BG279:BG280"/>
    <mergeCell ref="BH279:BH280"/>
    <mergeCell ref="BI279:BI280"/>
    <mergeCell ref="BJ279:BJ280"/>
    <mergeCell ref="BK279:BK280"/>
    <mergeCell ref="AZ279:AZ280"/>
    <mergeCell ref="BA279:BA280"/>
    <mergeCell ref="BB279:BB280"/>
    <mergeCell ref="BC279:BC280"/>
    <mergeCell ref="BD279:BD280"/>
    <mergeCell ref="BE279:BE280"/>
    <mergeCell ref="W279:W280"/>
    <mergeCell ref="X279:X280"/>
    <mergeCell ref="AU279:AU280"/>
    <mergeCell ref="AW279:AW280"/>
    <mergeCell ref="AX279:AX280"/>
    <mergeCell ref="AY279:AY280"/>
    <mergeCell ref="Q279:Q280"/>
    <mergeCell ref="R279:R280"/>
    <mergeCell ref="S279:S280"/>
    <mergeCell ref="T279:T280"/>
    <mergeCell ref="U279:U280"/>
    <mergeCell ref="V279:V280"/>
    <mergeCell ref="K279:K280"/>
    <mergeCell ref="L279:L280"/>
    <mergeCell ref="M279:M280"/>
    <mergeCell ref="N279:N280"/>
    <mergeCell ref="O279:O280"/>
    <mergeCell ref="P279:P280"/>
    <mergeCell ref="BK259:BK260"/>
    <mergeCell ref="BL259:BL260"/>
    <mergeCell ref="BM259:BM260"/>
    <mergeCell ref="A279:A280"/>
    <mergeCell ref="B279:B280"/>
    <mergeCell ref="F279:F280"/>
    <mergeCell ref="G279:G280"/>
    <mergeCell ref="H279:H280"/>
    <mergeCell ref="I279:I280"/>
    <mergeCell ref="J279:J280"/>
    <mergeCell ref="BE259:BE260"/>
    <mergeCell ref="BF259:BF260"/>
    <mergeCell ref="BG259:BG260"/>
    <mergeCell ref="BH259:BH260"/>
    <mergeCell ref="BI259:BI260"/>
    <mergeCell ref="BJ259:BJ260"/>
    <mergeCell ref="AX259:AX260"/>
    <mergeCell ref="AY259:AY260"/>
    <mergeCell ref="BA259:BA260"/>
    <mergeCell ref="BB259:BB260"/>
    <mergeCell ref="BC259:BC260"/>
    <mergeCell ref="BD259:BD260"/>
    <mergeCell ref="W259:W260"/>
    <mergeCell ref="X259:X260"/>
    <mergeCell ref="AT259:AT260"/>
    <mergeCell ref="AU259:AU260"/>
    <mergeCell ref="AV259:AV260"/>
    <mergeCell ref="AW259:AW260"/>
    <mergeCell ref="Q259:Q260"/>
    <mergeCell ref="R259:R260"/>
    <mergeCell ref="S259:S260"/>
    <mergeCell ref="T259:T260"/>
    <mergeCell ref="U259:U260"/>
    <mergeCell ref="V259:V260"/>
    <mergeCell ref="K259:K260"/>
    <mergeCell ref="L259:L260"/>
    <mergeCell ref="M259:M260"/>
    <mergeCell ref="N259:N260"/>
    <mergeCell ref="O259:O260"/>
    <mergeCell ref="P259:P260"/>
    <mergeCell ref="BL252:BL253"/>
    <mergeCell ref="BM252:BM253"/>
    <mergeCell ref="A259:A260"/>
    <mergeCell ref="B259:B260"/>
    <mergeCell ref="C259:C260"/>
    <mergeCell ref="F259:F260"/>
    <mergeCell ref="G259:G260"/>
    <mergeCell ref="H259:H260"/>
    <mergeCell ref="I259:I260"/>
    <mergeCell ref="J259:J260"/>
    <mergeCell ref="BF252:BF253"/>
    <mergeCell ref="BG252:BG253"/>
    <mergeCell ref="BH252:BH253"/>
    <mergeCell ref="BI252:BI253"/>
    <mergeCell ref="BJ252:BJ253"/>
    <mergeCell ref="BK252:BK253"/>
    <mergeCell ref="Q252:Q253"/>
    <mergeCell ref="BA252:BA253"/>
    <mergeCell ref="BB252:BB253"/>
    <mergeCell ref="BC252:BC253"/>
    <mergeCell ref="BD252:BD253"/>
    <mergeCell ref="BE252:BE253"/>
    <mergeCell ref="BJ242:BJ243"/>
    <mergeCell ref="BK242:BK243"/>
    <mergeCell ref="BL242:BL243"/>
    <mergeCell ref="BM242:BM243"/>
    <mergeCell ref="A252:A253"/>
    <mergeCell ref="B252:B253"/>
    <mergeCell ref="H252:H253"/>
    <mergeCell ref="N252:N253"/>
    <mergeCell ref="O252:O253"/>
    <mergeCell ref="P252:P253"/>
    <mergeCell ref="BD242:BD243"/>
    <mergeCell ref="BE242:BE243"/>
    <mergeCell ref="BF242:BF243"/>
    <mergeCell ref="BG242:BG243"/>
    <mergeCell ref="BH242:BH243"/>
    <mergeCell ref="BI242:BI243"/>
    <mergeCell ref="AW242:AW243"/>
    <mergeCell ref="AX242:AX243"/>
    <mergeCell ref="AY242:AY243"/>
    <mergeCell ref="BA242:BA243"/>
    <mergeCell ref="BB242:BB243"/>
    <mergeCell ref="BC242:BC243"/>
    <mergeCell ref="V242:V243"/>
    <mergeCell ref="W242:W243"/>
    <mergeCell ref="X242:X243"/>
    <mergeCell ref="AT242:AT243"/>
    <mergeCell ref="AU242:AU243"/>
    <mergeCell ref="AV242:AV243"/>
    <mergeCell ref="P242:P243"/>
    <mergeCell ref="Q242:Q243"/>
    <mergeCell ref="R242:R243"/>
    <mergeCell ref="S242:S243"/>
    <mergeCell ref="T242:T243"/>
    <mergeCell ref="U242:U243"/>
    <mergeCell ref="J242:J243"/>
    <mergeCell ref="K242:K243"/>
    <mergeCell ref="L242:L243"/>
    <mergeCell ref="M242:M243"/>
    <mergeCell ref="N242:N243"/>
    <mergeCell ref="O242:O243"/>
    <mergeCell ref="A242:A243"/>
    <mergeCell ref="B242:B243"/>
    <mergeCell ref="F242:F243"/>
    <mergeCell ref="G242:G243"/>
    <mergeCell ref="H242:H243"/>
    <mergeCell ref="I242:I243"/>
    <mergeCell ref="BH224:BH225"/>
    <mergeCell ref="BI224:BI225"/>
    <mergeCell ref="BJ224:BJ225"/>
    <mergeCell ref="BK224:BK225"/>
    <mergeCell ref="BL224:BL225"/>
    <mergeCell ref="BM224:BM225"/>
    <mergeCell ref="BB224:BB225"/>
    <mergeCell ref="BC224:BC225"/>
    <mergeCell ref="BD224:BD225"/>
    <mergeCell ref="BE224:BE225"/>
    <mergeCell ref="BF224:BF225"/>
    <mergeCell ref="BG224:BG225"/>
    <mergeCell ref="P224:P225"/>
    <mergeCell ref="Q224:Q225"/>
    <mergeCell ref="AX224:AX225"/>
    <mergeCell ref="AY224:AY225"/>
    <mergeCell ref="AZ224:AZ225"/>
    <mergeCell ref="BA224:BA225"/>
    <mergeCell ref="BJ206:BJ207"/>
    <mergeCell ref="BK206:BK207"/>
    <mergeCell ref="BL206:BL207"/>
    <mergeCell ref="BM206:BM207"/>
    <mergeCell ref="B224:B225"/>
    <mergeCell ref="D224:D225"/>
    <mergeCell ref="H224:H225"/>
    <mergeCell ref="K224:K225"/>
    <mergeCell ref="N224:N225"/>
    <mergeCell ref="O224:O225"/>
    <mergeCell ref="BD206:BD207"/>
    <mergeCell ref="BE206:BE207"/>
    <mergeCell ref="BF206:BF207"/>
    <mergeCell ref="BG206:BG207"/>
    <mergeCell ref="BH206:BH207"/>
    <mergeCell ref="BI206:BI207"/>
    <mergeCell ref="AX206:AX207"/>
    <mergeCell ref="AY206:AY207"/>
    <mergeCell ref="AZ206:AZ207"/>
    <mergeCell ref="BA206:BA207"/>
    <mergeCell ref="BB206:BB207"/>
    <mergeCell ref="BC206:BC207"/>
    <mergeCell ref="W206:W207"/>
    <mergeCell ref="X206:X207"/>
    <mergeCell ref="AT206:AT207"/>
    <mergeCell ref="AU206:AU207"/>
    <mergeCell ref="AV206:AV207"/>
    <mergeCell ref="AW206:AW207"/>
    <mergeCell ref="Q206:Q207"/>
    <mergeCell ref="R206:R207"/>
    <mergeCell ref="S206:S207"/>
    <mergeCell ref="T206:T207"/>
    <mergeCell ref="U206:U207"/>
    <mergeCell ref="V206:V207"/>
    <mergeCell ref="K206:K207"/>
    <mergeCell ref="L206:L207"/>
    <mergeCell ref="M206:M207"/>
    <mergeCell ref="N206:N207"/>
    <mergeCell ref="O206:O207"/>
    <mergeCell ref="P206:P207"/>
    <mergeCell ref="BK181:BK182"/>
    <mergeCell ref="BL181:BL182"/>
    <mergeCell ref="BM181:BM182"/>
    <mergeCell ref="A206:A207"/>
    <mergeCell ref="B206:B207"/>
    <mergeCell ref="F206:F207"/>
    <mergeCell ref="G206:G207"/>
    <mergeCell ref="H206:H207"/>
    <mergeCell ref="I206:I207"/>
    <mergeCell ref="J206:J207"/>
    <mergeCell ref="BE181:BE182"/>
    <mergeCell ref="BF181:BF182"/>
    <mergeCell ref="BG181:BG182"/>
    <mergeCell ref="BH181:BH182"/>
    <mergeCell ref="BI181:BI182"/>
    <mergeCell ref="BJ181:BJ182"/>
    <mergeCell ref="AY181:AY182"/>
    <mergeCell ref="AZ181:AZ182"/>
    <mergeCell ref="BA181:BA182"/>
    <mergeCell ref="BB181:BB182"/>
    <mergeCell ref="BC181:BC182"/>
    <mergeCell ref="BD181:BD182"/>
    <mergeCell ref="V181:V182"/>
    <mergeCell ref="W181:W182"/>
    <mergeCell ref="X181:X182"/>
    <mergeCell ref="AT181:AT182"/>
    <mergeCell ref="AW181:AW182"/>
    <mergeCell ref="AX181:AX182"/>
    <mergeCell ref="L181:L182"/>
    <mergeCell ref="M181:M182"/>
    <mergeCell ref="N181:N182"/>
    <mergeCell ref="O181:O182"/>
    <mergeCell ref="P181:P182"/>
    <mergeCell ref="Q181:Q182"/>
    <mergeCell ref="BM169:BM170"/>
    <mergeCell ref="A181:A182"/>
    <mergeCell ref="B181:B182"/>
    <mergeCell ref="C181:C182"/>
    <mergeCell ref="F181:F182"/>
    <mergeCell ref="G181:G182"/>
    <mergeCell ref="H181:H182"/>
    <mergeCell ref="I181:I182"/>
    <mergeCell ref="J181:J182"/>
    <mergeCell ref="K181:K182"/>
    <mergeCell ref="BG169:BG170"/>
    <mergeCell ref="BH169:BH170"/>
    <mergeCell ref="BI169:BI170"/>
    <mergeCell ref="BJ169:BJ170"/>
    <mergeCell ref="BK169:BK170"/>
    <mergeCell ref="BL169:BL170"/>
    <mergeCell ref="BA169:BA170"/>
    <mergeCell ref="BB169:BB170"/>
    <mergeCell ref="BC169:BC170"/>
    <mergeCell ref="BD169:BD170"/>
    <mergeCell ref="BE169:BE170"/>
    <mergeCell ref="BF169:BF170"/>
    <mergeCell ref="X169:X170"/>
    <mergeCell ref="AT169:AT170"/>
    <mergeCell ref="AU169:AU170"/>
    <mergeCell ref="AV169:AV170"/>
    <mergeCell ref="AX169:AX170"/>
    <mergeCell ref="AY169:AY170"/>
    <mergeCell ref="R169:R170"/>
    <mergeCell ref="S169:S170"/>
    <mergeCell ref="T169:T170"/>
    <mergeCell ref="U169:U170"/>
    <mergeCell ref="V169:V170"/>
    <mergeCell ref="W169:W170"/>
    <mergeCell ref="L169:L170"/>
    <mergeCell ref="M169:M170"/>
    <mergeCell ref="N169:N170"/>
    <mergeCell ref="O169:O170"/>
    <mergeCell ref="P169:P170"/>
    <mergeCell ref="Q169:Q170"/>
    <mergeCell ref="BL115:BL116"/>
    <mergeCell ref="BM115:BM116"/>
    <mergeCell ref="A169:A170"/>
    <mergeCell ref="B169:B170"/>
    <mergeCell ref="F169:F170"/>
    <mergeCell ref="G169:G170"/>
    <mergeCell ref="H169:H170"/>
    <mergeCell ref="I169:I170"/>
    <mergeCell ref="J169:J170"/>
    <mergeCell ref="K169:K170"/>
    <mergeCell ref="BF115:BF116"/>
    <mergeCell ref="BG115:BG116"/>
    <mergeCell ref="BH115:BH116"/>
    <mergeCell ref="BI115:BI116"/>
    <mergeCell ref="BJ115:BJ116"/>
    <mergeCell ref="BK115:BK116"/>
    <mergeCell ref="AY115:AY116"/>
    <mergeCell ref="BA115:BA116"/>
    <mergeCell ref="BB115:BB116"/>
    <mergeCell ref="BC115:BC116"/>
    <mergeCell ref="BD115:BD116"/>
    <mergeCell ref="BE115:BE116"/>
    <mergeCell ref="V115:V116"/>
    <mergeCell ref="W115:W116"/>
    <mergeCell ref="X115:X116"/>
    <mergeCell ref="AU115:AU116"/>
    <mergeCell ref="AV115:AV116"/>
    <mergeCell ref="AX115:AX116"/>
    <mergeCell ref="P115:P116"/>
    <mergeCell ref="Q115:Q116"/>
    <mergeCell ref="R115:R116"/>
    <mergeCell ref="S115:S116"/>
    <mergeCell ref="T115:T116"/>
    <mergeCell ref="U115:U116"/>
    <mergeCell ref="I115:I116"/>
    <mergeCell ref="J115:J116"/>
    <mergeCell ref="L115:L116"/>
    <mergeCell ref="M115:M116"/>
    <mergeCell ref="N115:N116"/>
    <mergeCell ref="O115:O116"/>
    <mergeCell ref="BK87:BK88"/>
    <mergeCell ref="BL87:BL88"/>
    <mergeCell ref="BM87:BM88"/>
    <mergeCell ref="A115:A116"/>
    <mergeCell ref="B115:B116"/>
    <mergeCell ref="C115:C116"/>
    <mergeCell ref="D115:D116"/>
    <mergeCell ref="F115:F116"/>
    <mergeCell ref="G115:G116"/>
    <mergeCell ref="H115:H116"/>
    <mergeCell ref="BE87:BE88"/>
    <mergeCell ref="BF87:BF88"/>
    <mergeCell ref="BG87:BG88"/>
    <mergeCell ref="BH87:BH88"/>
    <mergeCell ref="BI87:BI88"/>
    <mergeCell ref="BJ87:BJ88"/>
    <mergeCell ref="AX87:AX88"/>
    <mergeCell ref="AY87:AY88"/>
    <mergeCell ref="BA87:BA88"/>
    <mergeCell ref="BB87:BB88"/>
    <mergeCell ref="BC87:BC88"/>
    <mergeCell ref="BD87:BD88"/>
    <mergeCell ref="U87:U88"/>
    <mergeCell ref="V87:V88"/>
    <mergeCell ref="W87:W88"/>
    <mergeCell ref="X87:X88"/>
    <mergeCell ref="AU87:AU88"/>
    <mergeCell ref="AV87:AV88"/>
    <mergeCell ref="O87:O88"/>
    <mergeCell ref="P87:P88"/>
    <mergeCell ref="Q87:Q88"/>
    <mergeCell ref="R87:R88"/>
    <mergeCell ref="S87:S88"/>
    <mergeCell ref="T87:T88"/>
    <mergeCell ref="I87:I88"/>
    <mergeCell ref="J87:J88"/>
    <mergeCell ref="K87:K88"/>
    <mergeCell ref="L87:L88"/>
    <mergeCell ref="M87:M88"/>
    <mergeCell ref="N87:N88"/>
    <mergeCell ref="BK84:BK85"/>
    <mergeCell ref="BL84:BL85"/>
    <mergeCell ref="BM84:BM85"/>
    <mergeCell ref="A87:A88"/>
    <mergeCell ref="B87:B88"/>
    <mergeCell ref="C87:C88"/>
    <mergeCell ref="D87:D88"/>
    <mergeCell ref="F87:F88"/>
    <mergeCell ref="G87:G88"/>
    <mergeCell ref="H87:H88"/>
    <mergeCell ref="BE84:BE85"/>
    <mergeCell ref="BF84:BF85"/>
    <mergeCell ref="BG84:BG85"/>
    <mergeCell ref="BH84:BH85"/>
    <mergeCell ref="BI84:BI85"/>
    <mergeCell ref="BJ84:BJ85"/>
    <mergeCell ref="AU84:AU85"/>
    <mergeCell ref="AV84:AV85"/>
    <mergeCell ref="BA84:BA85"/>
    <mergeCell ref="BB84:BB85"/>
    <mergeCell ref="BC84:BC85"/>
    <mergeCell ref="BD84:BD85"/>
    <mergeCell ref="S84:S85"/>
    <mergeCell ref="T84:T85"/>
    <mergeCell ref="U84:U85"/>
    <mergeCell ref="V84:V85"/>
    <mergeCell ref="W84:W85"/>
    <mergeCell ref="X84:X85"/>
    <mergeCell ref="K84:K85"/>
    <mergeCell ref="N84:N85"/>
    <mergeCell ref="O84:O85"/>
    <mergeCell ref="P84:P85"/>
    <mergeCell ref="Q84:Q85"/>
    <mergeCell ref="R84:R85"/>
    <mergeCell ref="BL82:BL83"/>
    <mergeCell ref="BM82:BM83"/>
    <mergeCell ref="A84:A85"/>
    <mergeCell ref="B84:B85"/>
    <mergeCell ref="C84:C85"/>
    <mergeCell ref="D84:D85"/>
    <mergeCell ref="F84:F85"/>
    <mergeCell ref="H84:H85"/>
    <mergeCell ref="I84:I85"/>
    <mergeCell ref="J84:J85"/>
    <mergeCell ref="BF82:BF83"/>
    <mergeCell ref="BG82:BG83"/>
    <mergeCell ref="BH82:BH83"/>
    <mergeCell ref="BI82:BI83"/>
    <mergeCell ref="BJ82:BJ83"/>
    <mergeCell ref="BK82:BK83"/>
    <mergeCell ref="AY82:AY83"/>
    <mergeCell ref="BA82:BA83"/>
    <mergeCell ref="BB82:BB83"/>
    <mergeCell ref="BC82:BC83"/>
    <mergeCell ref="BD82:BD83"/>
    <mergeCell ref="BE82:BE83"/>
    <mergeCell ref="V82:V83"/>
    <mergeCell ref="W82:W83"/>
    <mergeCell ref="X82:X83"/>
    <mergeCell ref="AU82:AU83"/>
    <mergeCell ref="AV82:AV83"/>
    <mergeCell ref="AX82:AX83"/>
    <mergeCell ref="P82:P83"/>
    <mergeCell ref="Q82:Q83"/>
    <mergeCell ref="R82:R83"/>
    <mergeCell ref="S82:S83"/>
    <mergeCell ref="T82:T83"/>
    <mergeCell ref="U82:U83"/>
    <mergeCell ref="J82:J83"/>
    <mergeCell ref="K82:K83"/>
    <mergeCell ref="L82:L83"/>
    <mergeCell ref="M82:M83"/>
    <mergeCell ref="N82:N83"/>
    <mergeCell ref="O82:O83"/>
    <mergeCell ref="BL49:BL50"/>
    <mergeCell ref="BM49:BM50"/>
    <mergeCell ref="A82:A83"/>
    <mergeCell ref="B82:B83"/>
    <mergeCell ref="C82:C83"/>
    <mergeCell ref="D82:D83"/>
    <mergeCell ref="F82:F83"/>
    <mergeCell ref="G82:G83"/>
    <mergeCell ref="H82:H83"/>
    <mergeCell ref="I82:I83"/>
    <mergeCell ref="BF49:BF50"/>
    <mergeCell ref="BG49:BG50"/>
    <mergeCell ref="BH49:BH50"/>
    <mergeCell ref="BI49:BI50"/>
    <mergeCell ref="BJ49:BJ50"/>
    <mergeCell ref="BK49:BK50"/>
    <mergeCell ref="AV49:AV50"/>
    <mergeCell ref="BA49:BA50"/>
    <mergeCell ref="BB49:BB50"/>
    <mergeCell ref="BC49:BC50"/>
    <mergeCell ref="BD49:BD50"/>
    <mergeCell ref="BE49:BE50"/>
    <mergeCell ref="T49:T50"/>
    <mergeCell ref="U49:U50"/>
    <mergeCell ref="V49:V50"/>
    <mergeCell ref="W49:W50"/>
    <mergeCell ref="X49:X50"/>
    <mergeCell ref="AU49:AU50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A49:A50"/>
    <mergeCell ref="B49:B50"/>
    <mergeCell ref="C49:C50"/>
    <mergeCell ref="D49:D50"/>
    <mergeCell ref="F49:F50"/>
    <mergeCell ref="G49:G50"/>
    <mergeCell ref="AW29:AW30"/>
    <mergeCell ref="AX29:AX30"/>
    <mergeCell ref="AY29:AY30"/>
    <mergeCell ref="AZ29:AZ30"/>
    <mergeCell ref="BA29:BM29"/>
    <mergeCell ref="BN29:BN30"/>
    <mergeCell ref="AQ29:AQ30"/>
    <mergeCell ref="AR29:AR30"/>
    <mergeCell ref="AS29:AS30"/>
    <mergeCell ref="AT29:AT30"/>
    <mergeCell ref="AU29:AU30"/>
    <mergeCell ref="AV29:AV30"/>
    <mergeCell ref="AK29:AK30"/>
    <mergeCell ref="AL29:AL30"/>
    <mergeCell ref="AM29:AM30"/>
    <mergeCell ref="AN29:AN30"/>
    <mergeCell ref="AO29:AO30"/>
    <mergeCell ref="AP29:AP30"/>
    <mergeCell ref="AE29:AE30"/>
    <mergeCell ref="AF29:AF30"/>
    <mergeCell ref="AG29:AG30"/>
    <mergeCell ref="AH29:AH30"/>
    <mergeCell ref="AI29:AI30"/>
    <mergeCell ref="AJ29:AJ30"/>
    <mergeCell ref="J24:K24"/>
    <mergeCell ref="W25:Z26"/>
    <mergeCell ref="AA25:AB26"/>
    <mergeCell ref="E26:E27"/>
    <mergeCell ref="J26:K26"/>
    <mergeCell ref="I29:J29"/>
    <mergeCell ref="N29:X29"/>
    <mergeCell ref="Y29:AA29"/>
    <mergeCell ref="AB29:AD29"/>
    <mergeCell ref="J17:K18"/>
    <mergeCell ref="J19:K19"/>
    <mergeCell ref="J20:K20"/>
    <mergeCell ref="J21:K21"/>
    <mergeCell ref="J22:K22"/>
    <mergeCell ref="J23:K23"/>
    <mergeCell ref="AA13:AB13"/>
    <mergeCell ref="J14:K14"/>
    <mergeCell ref="W14:Z14"/>
    <mergeCell ref="AA14:AB14"/>
    <mergeCell ref="E15:E16"/>
    <mergeCell ref="F15:F16"/>
    <mergeCell ref="J15:K15"/>
    <mergeCell ref="J16:K16"/>
    <mergeCell ref="E11:E12"/>
    <mergeCell ref="F11:F12"/>
    <mergeCell ref="J11:K11"/>
    <mergeCell ref="J12:K12"/>
    <mergeCell ref="Y12:Z12"/>
    <mergeCell ref="E13:E14"/>
    <mergeCell ref="F13:F14"/>
    <mergeCell ref="J13:K13"/>
    <mergeCell ref="W13:Z13"/>
    <mergeCell ref="W7:Y7"/>
    <mergeCell ref="J8:K8"/>
    <mergeCell ref="W8:Y8"/>
    <mergeCell ref="J9:K9"/>
    <mergeCell ref="W9:Y9"/>
    <mergeCell ref="J10:K10"/>
    <mergeCell ref="W10:Y10"/>
    <mergeCell ref="J1:M1"/>
    <mergeCell ref="E2:F10"/>
    <mergeCell ref="J2:K2"/>
    <mergeCell ref="J3:K3"/>
    <mergeCell ref="J4:K4"/>
    <mergeCell ref="J5:K5"/>
    <mergeCell ref="J6:K6"/>
    <mergeCell ref="J7:K7"/>
  </mergeCells>
  <conditionalFormatting sqref="D31:D49 D335:D337 D339 D341:D356 D358:D381 D383:D384 D387:D422 D424:D455 D457:D564 D566:D572 D574:D599 D601:D603 D605:D626 D628:D635 D637:D646 D648:D659 D661:D691 D693:D698 D700 D703:D714 D716:D730 D732:D748 D750:D760 D762:D791 D793:D831 D833:D836 D838:D857 D859:D874 D876:D890 D892:D921 D923:D945 D947:D950 D952:D953 D955:D1001 D1003:D1012 D1014 D1016:D1041 D1043:D1052 D1054:D1078 D1080:D1084 D1086:D1104 D1106:D1116 D1118:D1129 D1131:D1132 D1134:D1159 D1162:D1169 D1171:D1178 D1180:D1194 D1196:D1203 D1205 D1207:D1228 D1231:D1247 D1249:D1250 D1252:D1265 D1267:D1275 D226:D333">
    <cfRule type="cellIs" dxfId="54" priority="53" operator="equal">
      <formula>"Coastal"</formula>
    </cfRule>
  </conditionalFormatting>
  <conditionalFormatting sqref="D51:D82">
    <cfRule type="cellIs" dxfId="53" priority="48" operator="equal">
      <formula>"Coastal"</formula>
    </cfRule>
  </conditionalFormatting>
  <conditionalFormatting sqref="D84">
    <cfRule type="cellIs" dxfId="52" priority="51" operator="equal">
      <formula>"Coastal"</formula>
    </cfRule>
  </conditionalFormatting>
  <conditionalFormatting sqref="D86:D87">
    <cfRule type="cellIs" dxfId="51" priority="50" operator="equal">
      <formula>"Coastal"</formula>
    </cfRule>
  </conditionalFormatting>
  <conditionalFormatting sqref="D89:D115">
    <cfRule type="cellIs" dxfId="50" priority="47" operator="equal">
      <formula>"Coastal"</formula>
    </cfRule>
  </conditionalFormatting>
  <conditionalFormatting sqref="D117:D224">
    <cfRule type="cellIs" dxfId="49" priority="49" operator="equal">
      <formula>"Coastal"</formula>
    </cfRule>
  </conditionalFormatting>
  <conditionalFormatting sqref="J3:L3 M3:M22 J4:J6 L4:L6 J7:L17 L18 J19:L22 J23:M23 J24 M24">
    <cfRule type="expression" dxfId="48" priority="54" stopIfTrue="1">
      <formula>$M3&gt;0</formula>
    </cfRule>
  </conditionalFormatting>
  <conditionalFormatting sqref="L25:M25">
    <cfRule type="expression" dxfId="47" priority="55" stopIfTrue="1">
      <formula>$M25&gt;0</formula>
    </cfRule>
  </conditionalFormatting>
  <conditionalFormatting sqref="AX31:AX82 AX84:AX87 AX89:AX115 AX117:AX169 AX171:AX181 AX183:AX206 AX208:AX224 AX226:AX242 AX244:AX259 AX281:AX290 AX292:AX319 AX321:AX333 AX335:AX337 AX339 AX341:AX356 AX358:AX366 AX368:AX381 AX383:AX384 AX386:AX423 AX425:AX426 AX428:AX434 AX436:AX455 AX457:AX475 AX1267:AX1274 AX261:AX279">
    <cfRule type="cellIs" dxfId="46" priority="52" operator="equal">
      <formula>0</formula>
    </cfRule>
  </conditionalFormatting>
  <conditionalFormatting sqref="AX477:AX481">
    <cfRule type="cellIs" dxfId="45" priority="46" operator="equal">
      <formula>0</formula>
    </cfRule>
  </conditionalFormatting>
  <conditionalFormatting sqref="AX483:AX564">
    <cfRule type="cellIs" dxfId="44" priority="45" operator="equal">
      <formula>0</formula>
    </cfRule>
  </conditionalFormatting>
  <conditionalFormatting sqref="AX566:AX572">
    <cfRule type="cellIs" dxfId="43" priority="44" operator="equal">
      <formula>0</formula>
    </cfRule>
  </conditionalFormatting>
  <conditionalFormatting sqref="AX574:AX599">
    <cfRule type="cellIs" dxfId="42" priority="43" operator="equal">
      <formula>0</formula>
    </cfRule>
  </conditionalFormatting>
  <conditionalFormatting sqref="AX601:AX603">
    <cfRule type="cellIs" dxfId="41" priority="42" operator="equal">
      <formula>0</formula>
    </cfRule>
  </conditionalFormatting>
  <conditionalFormatting sqref="AX605:AX626">
    <cfRule type="cellIs" dxfId="40" priority="41" operator="equal">
      <formula>0</formula>
    </cfRule>
  </conditionalFormatting>
  <conditionalFormatting sqref="AX628:AX635">
    <cfRule type="cellIs" dxfId="39" priority="40" operator="equal">
      <formula>0</formula>
    </cfRule>
  </conditionalFormatting>
  <conditionalFormatting sqref="AX637:AX646">
    <cfRule type="cellIs" dxfId="38" priority="39" operator="equal">
      <formula>0</formula>
    </cfRule>
  </conditionalFormatting>
  <conditionalFormatting sqref="AX648:AX659">
    <cfRule type="cellIs" dxfId="37" priority="38" operator="equal">
      <formula>0</formula>
    </cfRule>
  </conditionalFormatting>
  <conditionalFormatting sqref="AX661:AX691">
    <cfRule type="cellIs" dxfId="36" priority="37" operator="equal">
      <formula>0</formula>
    </cfRule>
  </conditionalFormatting>
  <conditionalFormatting sqref="AX693:AX698">
    <cfRule type="cellIs" dxfId="35" priority="36" operator="equal">
      <formula>0</formula>
    </cfRule>
  </conditionalFormatting>
  <conditionalFormatting sqref="AX700">
    <cfRule type="cellIs" dxfId="34" priority="35" operator="equal">
      <formula>0</formula>
    </cfRule>
  </conditionalFormatting>
  <conditionalFormatting sqref="AX703:AX714">
    <cfRule type="cellIs" dxfId="33" priority="34" operator="equal">
      <formula>0</formula>
    </cfRule>
  </conditionalFormatting>
  <conditionalFormatting sqref="AX716:AX730">
    <cfRule type="cellIs" dxfId="32" priority="33" operator="equal">
      <formula>0</formula>
    </cfRule>
  </conditionalFormatting>
  <conditionalFormatting sqref="AX732:AX748 AX750:AX760">
    <cfRule type="cellIs" dxfId="31" priority="32" operator="equal">
      <formula>0</formula>
    </cfRule>
  </conditionalFormatting>
  <conditionalFormatting sqref="AX762:AX791">
    <cfRule type="cellIs" dxfId="30" priority="31" operator="equal">
      <formula>0</formula>
    </cfRule>
  </conditionalFormatting>
  <conditionalFormatting sqref="AX793:AX831">
    <cfRule type="cellIs" dxfId="29" priority="30" operator="equal">
      <formula>0</formula>
    </cfRule>
  </conditionalFormatting>
  <conditionalFormatting sqref="AX833:AX836">
    <cfRule type="cellIs" dxfId="28" priority="29" operator="equal">
      <formula>0</formula>
    </cfRule>
  </conditionalFormatting>
  <conditionalFormatting sqref="AX838:AX857">
    <cfRule type="cellIs" dxfId="27" priority="28" operator="equal">
      <formula>0</formula>
    </cfRule>
  </conditionalFormatting>
  <conditionalFormatting sqref="AX859:AX874">
    <cfRule type="cellIs" dxfId="26" priority="27" operator="equal">
      <formula>0</formula>
    </cfRule>
  </conditionalFormatting>
  <conditionalFormatting sqref="AX876:AX890">
    <cfRule type="cellIs" dxfId="25" priority="26" operator="equal">
      <formula>0</formula>
    </cfRule>
  </conditionalFormatting>
  <conditionalFormatting sqref="AX892:AX921">
    <cfRule type="cellIs" dxfId="24" priority="25" operator="equal">
      <formula>0</formula>
    </cfRule>
  </conditionalFormatting>
  <conditionalFormatting sqref="AX923:AX945">
    <cfRule type="cellIs" dxfId="23" priority="24" operator="equal">
      <formula>0</formula>
    </cfRule>
  </conditionalFormatting>
  <conditionalFormatting sqref="AX947:AX950">
    <cfRule type="cellIs" dxfId="22" priority="23" operator="equal">
      <formula>0</formula>
    </cfRule>
  </conditionalFormatting>
  <conditionalFormatting sqref="AX952:AX953">
    <cfRule type="cellIs" dxfId="21" priority="22" operator="equal">
      <formula>0</formula>
    </cfRule>
  </conditionalFormatting>
  <conditionalFormatting sqref="AX955:AX1001">
    <cfRule type="cellIs" dxfId="20" priority="21" operator="equal">
      <formula>0</formula>
    </cfRule>
  </conditionalFormatting>
  <conditionalFormatting sqref="AX1003:AX1012">
    <cfRule type="cellIs" dxfId="19" priority="20" operator="equal">
      <formula>0</formula>
    </cfRule>
  </conditionalFormatting>
  <conditionalFormatting sqref="AX1014">
    <cfRule type="cellIs" dxfId="18" priority="19" operator="equal">
      <formula>0</formula>
    </cfRule>
  </conditionalFormatting>
  <conditionalFormatting sqref="AX1016:AX1041">
    <cfRule type="cellIs" dxfId="17" priority="18" operator="equal">
      <formula>0</formula>
    </cfRule>
  </conditionalFormatting>
  <conditionalFormatting sqref="AX1043:AX1052">
    <cfRule type="cellIs" dxfId="16" priority="17" operator="equal">
      <formula>0</formula>
    </cfRule>
  </conditionalFormatting>
  <conditionalFormatting sqref="AX1054:AX1078">
    <cfRule type="cellIs" dxfId="15" priority="16" operator="equal">
      <formula>0</formula>
    </cfRule>
  </conditionalFormatting>
  <conditionalFormatting sqref="AX1080:AX1084">
    <cfRule type="cellIs" dxfId="14" priority="15" operator="equal">
      <formula>0</formula>
    </cfRule>
  </conditionalFormatting>
  <conditionalFormatting sqref="AX1086:AX1104">
    <cfRule type="cellIs" dxfId="13" priority="14" operator="equal">
      <formula>0</formula>
    </cfRule>
  </conditionalFormatting>
  <conditionalFormatting sqref="AX1106:AX1116">
    <cfRule type="cellIs" dxfId="12" priority="13" operator="equal">
      <formula>0</formula>
    </cfRule>
  </conditionalFormatting>
  <conditionalFormatting sqref="AX1118:AX1129">
    <cfRule type="cellIs" dxfId="11" priority="12" operator="equal">
      <formula>0</formula>
    </cfRule>
  </conditionalFormatting>
  <conditionalFormatting sqref="AX1131:AX1132">
    <cfRule type="cellIs" dxfId="10" priority="11" operator="equal">
      <formula>0</formula>
    </cfRule>
  </conditionalFormatting>
  <conditionalFormatting sqref="AX1134:AX1159">
    <cfRule type="cellIs" dxfId="9" priority="10" operator="equal">
      <formula>0</formula>
    </cfRule>
  </conditionalFormatting>
  <conditionalFormatting sqref="AX1162:AX1169">
    <cfRule type="cellIs" dxfId="8" priority="9" operator="equal">
      <formula>0</formula>
    </cfRule>
  </conditionalFormatting>
  <conditionalFormatting sqref="AX1171:AX1178">
    <cfRule type="cellIs" dxfId="7" priority="8" operator="equal">
      <formula>0</formula>
    </cfRule>
  </conditionalFormatting>
  <conditionalFormatting sqref="AX1180:AX1194">
    <cfRule type="cellIs" dxfId="6" priority="7" operator="equal">
      <formula>0</formula>
    </cfRule>
  </conditionalFormatting>
  <conditionalFormatting sqref="AX1196:AX1203">
    <cfRule type="cellIs" dxfId="5" priority="6" operator="equal">
      <formula>0</formula>
    </cfRule>
  </conditionalFormatting>
  <conditionalFormatting sqref="AX1205">
    <cfRule type="cellIs" dxfId="4" priority="5" operator="equal">
      <formula>0</formula>
    </cfRule>
  </conditionalFormatting>
  <conditionalFormatting sqref="AX1207:AX1229">
    <cfRule type="cellIs" dxfId="3" priority="4" operator="equal">
      <formula>0</formula>
    </cfRule>
  </conditionalFormatting>
  <conditionalFormatting sqref="AX1231:AX1247">
    <cfRule type="cellIs" dxfId="2" priority="3" operator="equal">
      <formula>0</formula>
    </cfRule>
  </conditionalFormatting>
  <conditionalFormatting sqref="AX1249:AX1250">
    <cfRule type="cellIs" dxfId="1" priority="2" operator="equal">
      <formula>0</formula>
    </cfRule>
  </conditionalFormatting>
  <conditionalFormatting sqref="AX1252:AX1265">
    <cfRule type="cellIs" dxfId="0" priority="1" operator="equal">
      <formula>0</formula>
    </cfRule>
  </conditionalFormatting>
  <pageMargins left="0.75" right="0.75" top="1" bottom="1" header="0.50972222222222219" footer="0.50972222222222219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FY 24-25</vt:lpstr>
      <vt:lpstr>Loaded_Qty</vt:lpstr>
      <vt:lpstr>Rake_Date</vt:lpstr>
      <vt:lpstr>Rakes_Siding</vt:lpstr>
      <vt:lpstr>UL_Qty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Kumar Sappa</dc:creator>
  <cp:lastModifiedBy>Satish Kumar Sappa</cp:lastModifiedBy>
  <dcterms:created xsi:type="dcterms:W3CDTF">2025-05-17T06:50:22Z</dcterms:created>
  <dcterms:modified xsi:type="dcterms:W3CDTF">2025-05-17T06:52:57Z</dcterms:modified>
</cp:coreProperties>
</file>