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in out WROOM" sheetId="1" r:id="rId1"/>
    <sheet name="Pin out module" sheetId="2" r:id="rId2"/>
    <sheet name="Utilisation" sheetId="3" r:id="rId3"/>
  </sheets>
  <calcPr calcId="1456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H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<sst xmlns="http://schemas.openxmlformats.org/spreadsheetml/2006/main" count="328" uniqueCount="168">
  <si>
    <t>Name</t>
  </si>
  <si>
    <t>No.</t>
  </si>
  <si>
    <t>Type</t>
  </si>
  <si>
    <t>Function</t>
  </si>
  <si>
    <t>GND</t>
  </si>
  <si>
    <t>P</t>
  </si>
  <si>
    <t>Ground</t>
  </si>
  <si>
    <t>3V3</t>
  </si>
  <si>
    <t>EN</t>
  </si>
  <si>
    <t>I</t>
  </si>
  <si>
    <t>SENSOR_VP</t>
  </si>
  <si>
    <t>SENSOR_VN</t>
  </si>
  <si>
    <t>IO34</t>
  </si>
  <si>
    <t>IO35</t>
  </si>
  <si>
    <t>IO32</t>
  </si>
  <si>
    <t>I/O</t>
  </si>
  <si>
    <t>IO33</t>
  </si>
  <si>
    <t>IO25</t>
  </si>
  <si>
    <t>IO26</t>
  </si>
  <si>
    <t>IO27</t>
  </si>
  <si>
    <t>IO14</t>
  </si>
  <si>
    <t>IO12</t>
  </si>
  <si>
    <t>IO13</t>
  </si>
  <si>
    <t>SHD/SD2*</t>
  </si>
  <si>
    <t>SWP/SD3*</t>
  </si>
  <si>
    <t>SCS/CMD*</t>
  </si>
  <si>
    <t>SCK/CLK*</t>
  </si>
  <si>
    <t>SDO/SD0*</t>
  </si>
  <si>
    <t>SDI/SD1*</t>
  </si>
  <si>
    <t>IO15</t>
  </si>
  <si>
    <t>IO2</t>
  </si>
  <si>
    <t>IO0</t>
  </si>
  <si>
    <t>IO4</t>
  </si>
  <si>
    <t>IO16</t>
  </si>
  <si>
    <t>IO17</t>
  </si>
  <si>
    <t>IO5</t>
  </si>
  <si>
    <t>IO18</t>
  </si>
  <si>
    <t>IO19</t>
  </si>
  <si>
    <t>NC</t>
  </si>
  <si>
    <t>-</t>
  </si>
  <si>
    <t>IO21</t>
  </si>
  <si>
    <t>RXD0</t>
  </si>
  <si>
    <t>TXD0</t>
  </si>
  <si>
    <t>IO22</t>
  </si>
  <si>
    <t>IO23</t>
  </si>
  <si>
    <t>Power supply</t>
  </si>
  <si>
    <t>Module-enable signal. Active high.</t>
  </si>
  <si>
    <t>GPIO36, ADC1_CH0, RTC_GPIO0</t>
  </si>
  <si>
    <t>GPIO39, ADC1_CH3, RTC_GPIO3</t>
  </si>
  <si>
    <t>GPIO34, ADC1_CH6, RTC_GPIO4</t>
  </si>
  <si>
    <t>GPIO35, ADC1_CH7, RTC_GPIO5</t>
  </si>
  <si>
    <t>GPIO32, XTAL_32K_P (32.768 kHz crystal oscillator input), ADC1_CH4, TOUCH9, RTC_GPIO9</t>
  </si>
  <si>
    <t>GPIO26, DAC_2, ADC2_CH9, RTC_GPIO7, EMAC_RXD1</t>
  </si>
  <si>
    <t>GPIO27, ADC2_CH7, TOUCH7, RTC_GPIO17, EMAC_RX_DV</t>
  </si>
  <si>
    <t>GPIO14, ADC2_CH6, TOUCH6, RTC_GPIO16, MTMS, HSPICLK, HS2_CLK, SD_CLK, EMAC_TXD2</t>
  </si>
  <si>
    <t>GPIO12, ADC2_CH5, TOUCH5, RTC_GPIO15, MTDI, HSPIQ, HS2_DATA2, SD_DATA2, EMAC_TXD3</t>
  </si>
  <si>
    <t>GPIO13, ADC2_CH4, TOUCH4, RTC_GPIO14, MTCK, HSPID, HS2_DATA3, SD_DATA3, EMAC_RX_ER</t>
  </si>
  <si>
    <t>GPIO9, SD_DATA2, SPIHD, HS1_DATA2, U1RXD</t>
  </si>
  <si>
    <t>GPIO10, SD_DATA3, SPIWP, HS1_DATA3, U1TXD</t>
  </si>
  <si>
    <t>GPIO11, SD_CMD, SPICS0, HS1_CMD, U1RTS</t>
  </si>
  <si>
    <t>GPIO6, SD_CLK, SPICLK, HS1_CLK, U1CTS</t>
  </si>
  <si>
    <t>GPIO7, SD_DATA0, SPIQ, HS1_DATA0, U2RTS</t>
  </si>
  <si>
    <t>GPIO8, SD_DATA1, SPID, HS1_DATA1, U2CTS</t>
  </si>
  <si>
    <t>GPIO15, ADC2_CH3, TOUCH3, MTDO, HSPICS0, RTC_GPIO13, HS2_CMD, SD_CMD, EMAC_RXD3</t>
  </si>
  <si>
    <t>GPIO2, ADC2_CH2, TOUCH2, RTC_GPIO12, HSPIWP, HS2_DATA0, SD_DATA0</t>
  </si>
  <si>
    <t>GPIO0, ADC2_CH1, TOUCH1, RTC_GPIO11, CLK_OUT1, EMAC_TX_CLK</t>
  </si>
  <si>
    <t>GPIO4, ADC2_CH0, TOUCH0, RTC_GPIO10, HSPIHD, HS2_DATA1, SD_DATA1, EMAC_TX_ER</t>
  </si>
  <si>
    <t>GPIO16, HS1_DATA4, U2RXD, EMAC_CLK_OUT</t>
  </si>
  <si>
    <t>GPIO17, HS1_DATA5, U2TXD, EMAC_CLK_OUT_180</t>
  </si>
  <si>
    <t>GPIO5, VSPICS0, HS1_DATA6, EMAC_RX_CLK</t>
  </si>
  <si>
    <t>GPIO18, VSPICLK, HS1_DATA7</t>
  </si>
  <si>
    <t>GPIO19, VSPIQ, U0CTS, EMAC_TXD0</t>
  </si>
  <si>
    <t>GPIO21, VSPIHD, EMAC_TX_EN</t>
  </si>
  <si>
    <t>GPIO3, U0RXD, CLK_OUT2</t>
  </si>
  <si>
    <t>GPIO1, U0TXD, CLK_OUT3, EMAC_RXD2</t>
  </si>
  <si>
    <t>GPIO22, VSPIWP, U0RTS, EMAC_TXD1</t>
  </si>
  <si>
    <t>GPIO23, VSPID, HS1_STROBE</t>
  </si>
  <si>
    <t>PIN #</t>
  </si>
  <si>
    <t>D15</t>
  </si>
  <si>
    <t>D4</t>
  </si>
  <si>
    <t>RX2</t>
  </si>
  <si>
    <t>TX2</t>
  </si>
  <si>
    <t>D5</t>
  </si>
  <si>
    <t>D18</t>
  </si>
  <si>
    <t>D19</t>
  </si>
  <si>
    <t>D21</t>
  </si>
  <si>
    <t>RX0</t>
  </si>
  <si>
    <t>TX0</t>
  </si>
  <si>
    <t>D22</t>
  </si>
  <si>
    <t>D23</t>
  </si>
  <si>
    <t>VP</t>
  </si>
  <si>
    <t>VN</t>
  </si>
  <si>
    <t>D34</t>
  </si>
  <si>
    <t>D35</t>
  </si>
  <si>
    <t>D32</t>
  </si>
  <si>
    <t>D33</t>
  </si>
  <si>
    <t>D25</t>
  </si>
  <si>
    <t>D26</t>
  </si>
  <si>
    <t>D27</t>
  </si>
  <si>
    <t>D14</t>
  </si>
  <si>
    <t>D12</t>
  </si>
  <si>
    <t>D13</t>
  </si>
  <si>
    <t>VIN</t>
  </si>
  <si>
    <t>D2</t>
  </si>
  <si>
    <t>Name WROOM32</t>
  </si>
  <si>
    <t>Description</t>
  </si>
  <si>
    <t>N/A</t>
  </si>
  <si>
    <t>GPIO25</t>
  </si>
  <si>
    <t>GPIO33, XTAL_32K_N (32.768 kHz crystal oscillator output), ADC1_CH5, TOUCH8, RTC_GPIO8</t>
  </si>
  <si>
    <t>GPIO25, DAC_1, ADC2_CH8, RTC_GPIO6, EMAC_RXD0</t>
  </si>
  <si>
    <t>OK</t>
  </si>
  <si>
    <t>RX</t>
  </si>
  <si>
    <t>x</t>
  </si>
  <si>
    <t>SPI</t>
  </si>
  <si>
    <t>GPIO</t>
  </si>
  <si>
    <t>Input</t>
  </si>
  <si>
    <t>Output</t>
  </si>
  <si>
    <t>Notes</t>
  </si>
  <si>
    <t>TX pin</t>
  </si>
  <si>
    <t>pulled up</t>
  </si>
  <si>
    <t xml:space="preserve">outputs PWM signal at boot </t>
  </si>
  <si>
    <t xml:space="preserve">connected to on-board LED  </t>
  </si>
  <si>
    <t xml:space="preserve">     </t>
  </si>
  <si>
    <t>connected to the integrated SPI flash</t>
  </si>
  <si>
    <t xml:space="preserve">boot fail if pulled high </t>
  </si>
  <si>
    <t>GPIO36</t>
  </si>
  <si>
    <t>GPIO39</t>
  </si>
  <si>
    <t>GPIO34</t>
  </si>
  <si>
    <t>GPIO35</t>
  </si>
  <si>
    <t>GPIO32</t>
  </si>
  <si>
    <t>GPIO33</t>
  </si>
  <si>
    <t>GPIO26</t>
  </si>
  <si>
    <t>GPIO27</t>
  </si>
  <si>
    <t>GPIO14</t>
  </si>
  <si>
    <t>GPIO12</t>
  </si>
  <si>
    <t>GPIO13</t>
  </si>
  <si>
    <t>GPIO10</t>
  </si>
  <si>
    <t>GPIO11</t>
  </si>
  <si>
    <t>GPIO15</t>
  </si>
  <si>
    <t>GPIO16</t>
  </si>
  <si>
    <t>GPIO17</t>
  </si>
  <si>
    <t>GPIO18</t>
  </si>
  <si>
    <t>GPIO19</t>
  </si>
  <si>
    <t>GPIO21</t>
  </si>
  <si>
    <t>GPIO22</t>
  </si>
  <si>
    <t>GPIO23</t>
  </si>
  <si>
    <t>GPIO9</t>
  </si>
  <si>
    <t>GPIO6</t>
  </si>
  <si>
    <t>GPIO7</t>
  </si>
  <si>
    <t>GPIO8</t>
  </si>
  <si>
    <t>GPIO2</t>
  </si>
  <si>
    <t>GPIO0</t>
  </si>
  <si>
    <t>GPIO4</t>
  </si>
  <si>
    <t>GPIO5</t>
  </si>
  <si>
    <t>GPIO3</t>
  </si>
  <si>
    <t>GPIO1</t>
  </si>
  <si>
    <t>ADC</t>
  </si>
  <si>
    <t>TXD</t>
  </si>
  <si>
    <t>RXD</t>
  </si>
  <si>
    <t>TOUCH</t>
  </si>
  <si>
    <t>Supply voltage - 7 to 12V</t>
  </si>
  <si>
    <t>input only with no pullup</t>
  </si>
  <si>
    <t>max output current per GPIO: 40 mA</t>
  </si>
  <si>
    <t>Note: ADC on pin D4, D12, D13, D14, D15, D25, D26, D27 can be read only with WiFi not started (ADC2 channels)</t>
  </si>
  <si>
    <t>pin HIGH at boot  - used for USB downloading</t>
  </si>
  <si>
    <t>RX pin</t>
  </si>
  <si>
    <t>debug output at boot  - 10k in serial</t>
  </si>
  <si>
    <t>outputs PWM signal at boot - 10k in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</si>
</sst>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/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36</xdr:col>
      <xdr:colOff>219075</xdr:colOff>
      <xdr:row>33</xdr:row>
      <xdr:rowOff>180975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0"/>
          <a:ext cx="13630275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1:E39" totalsRowShown="0" headerRowDxfId="8" headerRowBorderDxfId="7" tableBorderDxfId="6" totalsRowBorderDxfId="5">
  <autoFilter ref="A1:E39"/>
  <tableColumns count="5">
    <tableColumn id="1" name="Name" dataDxfId="4"/>
    <tableColumn id="2" name="No." dataDxfId="3"/>
    <tableColumn id="3" name="Type" dataDxfId="2"/>
    <tableColumn id="4" name="Function" dataDxfId="1"/>
    <tableColumn id="5" name="GP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15.7109375" style="1" customWidth="1"/>
    <col min="2" max="3" width="9.140625" style="2"/>
    <col min="4" max="4" width="71.42578125" style="1" bestFit="1" customWidth="1"/>
    <col min="5" max="5" width="11.5703125" style="1" customWidth="1"/>
    <col min="6" max="6" width="35.140625" style="1" customWidth="1"/>
    <col min="7" max="16384" width="9.140625" style="1"/>
  </cols>
  <sheetData>
    <row r="1" spans="1:5" x14ac:dyDescent="0.25">
      <c r="A1" s="3" t="s">
        <v>0</v>
      </c>
      <c r="B1" s="4" t="s">
        <v>1</v>
      </c>
      <c r="C1" s="4" t="s">
        <v>2</v>
      </c>
      <c r="D1" s="5" t="s">
        <v>3</v>
      </c>
      <c r="E1" s="18" t="s">
        <v>114</v>
      </c>
    </row>
    <row r="2" spans="1:5" x14ac:dyDescent="0.25">
      <c r="A2" s="6" t="s">
        <v>4</v>
      </c>
      <c r="B2" s="7">
        <v>1</v>
      </c>
      <c r="C2" s="7" t="s">
        <v>5</v>
      </c>
      <c r="D2" s="8" t="s">
        <v>6</v>
      </c>
    </row>
    <row r="3" spans="1:5" x14ac:dyDescent="0.25">
      <c r="A3" s="6" t="s">
        <v>7</v>
      </c>
      <c r="B3" s="7">
        <v>2</v>
      </c>
      <c r="C3" s="7" t="s">
        <v>5</v>
      </c>
      <c r="D3" s="8" t="s">
        <v>45</v>
      </c>
    </row>
    <row r="4" spans="1:5" x14ac:dyDescent="0.25">
      <c r="A4" s="6" t="s">
        <v>8</v>
      </c>
      <c r="B4" s="7">
        <v>3</v>
      </c>
      <c r="C4" s="7" t="s">
        <v>9</v>
      </c>
      <c r="D4" s="8" t="s">
        <v>46</v>
      </c>
    </row>
    <row r="5" spans="1:5" x14ac:dyDescent="0.25">
      <c r="A5" s="6" t="s">
        <v>10</v>
      </c>
      <c r="B5" s="7">
        <v>4</v>
      </c>
      <c r="C5" s="7" t="s">
        <v>9</v>
      </c>
      <c r="D5" s="8" t="s">
        <v>47</v>
      </c>
      <c r="E5" s="1" t="s">
        <v>125</v>
      </c>
    </row>
    <row r="6" spans="1:5" x14ac:dyDescent="0.25">
      <c r="A6" s="6" t="s">
        <v>11</v>
      </c>
      <c r="B6" s="7">
        <v>5</v>
      </c>
      <c r="C6" s="7" t="s">
        <v>9</v>
      </c>
      <c r="D6" s="8" t="s">
        <v>48</v>
      </c>
      <c r="E6" s="1" t="s">
        <v>126</v>
      </c>
    </row>
    <row r="7" spans="1:5" x14ac:dyDescent="0.25">
      <c r="A7" s="6" t="s">
        <v>12</v>
      </c>
      <c r="B7" s="7">
        <v>6</v>
      </c>
      <c r="C7" s="7" t="s">
        <v>9</v>
      </c>
      <c r="D7" s="8" t="s">
        <v>49</v>
      </c>
      <c r="E7" s="1" t="s">
        <v>127</v>
      </c>
    </row>
    <row r="8" spans="1:5" x14ac:dyDescent="0.25">
      <c r="A8" s="6" t="s">
        <v>13</v>
      </c>
      <c r="B8" s="7">
        <v>7</v>
      </c>
      <c r="C8" s="7" t="s">
        <v>9</v>
      </c>
      <c r="D8" s="8" t="s">
        <v>50</v>
      </c>
      <c r="E8" s="1" t="s">
        <v>128</v>
      </c>
    </row>
    <row r="9" spans="1:5" x14ac:dyDescent="0.25">
      <c r="A9" s="6" t="s">
        <v>14</v>
      </c>
      <c r="B9" s="7">
        <v>8</v>
      </c>
      <c r="C9" s="7" t="s">
        <v>15</v>
      </c>
      <c r="D9" s="8" t="s">
        <v>51</v>
      </c>
      <c r="E9" s="1" t="s">
        <v>129</v>
      </c>
    </row>
    <row r="10" spans="1:5" x14ac:dyDescent="0.25">
      <c r="A10" s="6" t="s">
        <v>16</v>
      </c>
      <c r="B10" s="7">
        <v>9</v>
      </c>
      <c r="C10" s="7" t="s">
        <v>15</v>
      </c>
      <c r="D10" s="8" t="s">
        <v>108</v>
      </c>
      <c r="E10" s="1" t="s">
        <v>130</v>
      </c>
    </row>
    <row r="11" spans="1:5" x14ac:dyDescent="0.25">
      <c r="A11" s="6" t="s">
        <v>17</v>
      </c>
      <c r="B11" s="7">
        <v>10</v>
      </c>
      <c r="C11" s="7" t="s">
        <v>15</v>
      </c>
      <c r="D11" s="8" t="s">
        <v>109</v>
      </c>
      <c r="E11" s="1" t="s">
        <v>107</v>
      </c>
    </row>
    <row r="12" spans="1:5" x14ac:dyDescent="0.25">
      <c r="A12" s="14" t="s">
        <v>18</v>
      </c>
      <c r="B12" s="7">
        <v>11</v>
      </c>
      <c r="C12" s="7" t="s">
        <v>15</v>
      </c>
      <c r="D12" s="8" t="s">
        <v>52</v>
      </c>
      <c r="E12" s="1" t="s">
        <v>131</v>
      </c>
    </row>
    <row r="13" spans="1:5" x14ac:dyDescent="0.25">
      <c r="A13" s="6" t="s">
        <v>19</v>
      </c>
      <c r="B13" s="7">
        <v>12</v>
      </c>
      <c r="C13" s="7" t="s">
        <v>15</v>
      </c>
      <c r="D13" s="8" t="s">
        <v>53</v>
      </c>
      <c r="E13" s="1" t="s">
        <v>132</v>
      </c>
    </row>
    <row r="14" spans="1:5" x14ac:dyDescent="0.25">
      <c r="A14" s="6" t="s">
        <v>20</v>
      </c>
      <c r="B14" s="7">
        <v>13</v>
      </c>
      <c r="C14" s="7" t="s">
        <v>15</v>
      </c>
      <c r="D14" s="8" t="s">
        <v>54</v>
      </c>
      <c r="E14" s="1" t="s">
        <v>133</v>
      </c>
    </row>
    <row r="15" spans="1:5" x14ac:dyDescent="0.25">
      <c r="A15" s="6" t="s">
        <v>21</v>
      </c>
      <c r="B15" s="7">
        <v>14</v>
      </c>
      <c r="C15" s="7" t="s">
        <v>15</v>
      </c>
      <c r="D15" s="8" t="s">
        <v>55</v>
      </c>
      <c r="E15" s="1" t="s">
        <v>134</v>
      </c>
    </row>
    <row r="16" spans="1:5" x14ac:dyDescent="0.25">
      <c r="A16" s="6" t="s">
        <v>4</v>
      </c>
      <c r="B16" s="7">
        <v>15</v>
      </c>
      <c r="C16" s="7" t="s">
        <v>5</v>
      </c>
      <c r="D16" s="8" t="s">
        <v>6</v>
      </c>
    </row>
    <row r="17" spans="1:5" x14ac:dyDescent="0.25">
      <c r="A17" s="6" t="s">
        <v>22</v>
      </c>
      <c r="B17" s="7">
        <v>16</v>
      </c>
      <c r="C17" s="7" t="s">
        <v>15</v>
      </c>
      <c r="D17" s="8" t="s">
        <v>56</v>
      </c>
      <c r="E17" s="1" t="s">
        <v>135</v>
      </c>
    </row>
    <row r="18" spans="1:5" x14ac:dyDescent="0.25">
      <c r="A18" s="6" t="s">
        <v>23</v>
      </c>
      <c r="B18" s="7">
        <v>17</v>
      </c>
      <c r="C18" s="7" t="s">
        <v>15</v>
      </c>
      <c r="D18" s="8" t="s">
        <v>57</v>
      </c>
      <c r="E18" s="1" t="s">
        <v>146</v>
      </c>
    </row>
    <row r="19" spans="1:5" x14ac:dyDescent="0.25">
      <c r="A19" s="6" t="s">
        <v>24</v>
      </c>
      <c r="B19" s="7">
        <v>18</v>
      </c>
      <c r="C19" s="7" t="s">
        <v>15</v>
      </c>
      <c r="D19" s="8" t="s">
        <v>58</v>
      </c>
      <c r="E19" s="1" t="s">
        <v>136</v>
      </c>
    </row>
    <row r="20" spans="1:5" x14ac:dyDescent="0.25">
      <c r="A20" s="6" t="s">
        <v>25</v>
      </c>
      <c r="B20" s="7">
        <v>19</v>
      </c>
      <c r="C20" s="7" t="s">
        <v>15</v>
      </c>
      <c r="D20" s="8" t="s">
        <v>59</v>
      </c>
      <c r="E20" s="1" t="s">
        <v>137</v>
      </c>
    </row>
    <row r="21" spans="1:5" x14ac:dyDescent="0.25">
      <c r="A21" s="6" t="s">
        <v>26</v>
      </c>
      <c r="B21" s="7">
        <v>20</v>
      </c>
      <c r="C21" s="7" t="s">
        <v>15</v>
      </c>
      <c r="D21" s="8" t="s">
        <v>60</v>
      </c>
      <c r="E21" s="1" t="s">
        <v>147</v>
      </c>
    </row>
    <row r="22" spans="1:5" x14ac:dyDescent="0.25">
      <c r="A22" s="6" t="s">
        <v>27</v>
      </c>
      <c r="B22" s="7">
        <v>21</v>
      </c>
      <c r="C22" s="7" t="s">
        <v>15</v>
      </c>
      <c r="D22" s="8" t="s">
        <v>61</v>
      </c>
      <c r="E22" s="1" t="s">
        <v>148</v>
      </c>
    </row>
    <row r="23" spans="1:5" x14ac:dyDescent="0.25">
      <c r="A23" s="6" t="s">
        <v>28</v>
      </c>
      <c r="B23" s="7">
        <v>22</v>
      </c>
      <c r="C23" s="7" t="s">
        <v>15</v>
      </c>
      <c r="D23" s="8" t="s">
        <v>62</v>
      </c>
      <c r="E23" s="1" t="s">
        <v>149</v>
      </c>
    </row>
    <row r="24" spans="1:5" x14ac:dyDescent="0.25">
      <c r="A24" s="6" t="s">
        <v>29</v>
      </c>
      <c r="B24" s="7">
        <v>23</v>
      </c>
      <c r="C24" s="7" t="s">
        <v>15</v>
      </c>
      <c r="D24" s="8" t="s">
        <v>63</v>
      </c>
      <c r="E24" s="1" t="s">
        <v>138</v>
      </c>
    </row>
    <row r="25" spans="1:5" x14ac:dyDescent="0.25">
      <c r="A25" s="6" t="s">
        <v>30</v>
      </c>
      <c r="B25" s="7">
        <v>24</v>
      </c>
      <c r="C25" s="7" t="s">
        <v>15</v>
      </c>
      <c r="D25" s="8" t="s">
        <v>64</v>
      </c>
      <c r="E25" s="1" t="s">
        <v>150</v>
      </c>
    </row>
    <row r="26" spans="1:5" x14ac:dyDescent="0.25">
      <c r="A26" s="6" t="s">
        <v>31</v>
      </c>
      <c r="B26" s="7">
        <v>25</v>
      </c>
      <c r="C26" s="7" t="s">
        <v>15</v>
      </c>
      <c r="D26" s="8" t="s">
        <v>65</v>
      </c>
      <c r="E26" s="1" t="s">
        <v>151</v>
      </c>
    </row>
    <row r="27" spans="1:5" x14ac:dyDescent="0.25">
      <c r="A27" s="6" t="s">
        <v>32</v>
      </c>
      <c r="B27" s="7">
        <v>26</v>
      </c>
      <c r="C27" s="7" t="s">
        <v>15</v>
      </c>
      <c r="D27" s="8" t="s">
        <v>66</v>
      </c>
      <c r="E27" s="1" t="s">
        <v>152</v>
      </c>
    </row>
    <row r="28" spans="1:5" x14ac:dyDescent="0.25">
      <c r="A28" s="6" t="s">
        <v>33</v>
      </c>
      <c r="B28" s="7">
        <v>27</v>
      </c>
      <c r="C28" s="7" t="s">
        <v>15</v>
      </c>
      <c r="D28" s="8" t="s">
        <v>67</v>
      </c>
      <c r="E28" s="1" t="s">
        <v>139</v>
      </c>
    </row>
    <row r="29" spans="1:5" x14ac:dyDescent="0.25">
      <c r="A29" s="6" t="s">
        <v>34</v>
      </c>
      <c r="B29" s="7">
        <v>28</v>
      </c>
      <c r="C29" s="7" t="s">
        <v>15</v>
      </c>
      <c r="D29" s="8" t="s">
        <v>68</v>
      </c>
      <c r="E29" s="1" t="s">
        <v>140</v>
      </c>
    </row>
    <row r="30" spans="1:5" x14ac:dyDescent="0.25">
      <c r="A30" s="6" t="s">
        <v>35</v>
      </c>
      <c r="B30" s="7">
        <v>29</v>
      </c>
      <c r="C30" s="7" t="s">
        <v>15</v>
      </c>
      <c r="D30" s="8" t="s">
        <v>69</v>
      </c>
      <c r="E30" s="1" t="s">
        <v>153</v>
      </c>
    </row>
    <row r="31" spans="1:5" x14ac:dyDescent="0.25">
      <c r="A31" s="6" t="s">
        <v>36</v>
      </c>
      <c r="B31" s="7">
        <v>30</v>
      </c>
      <c r="C31" s="7" t="s">
        <v>15</v>
      </c>
      <c r="D31" s="8" t="s">
        <v>70</v>
      </c>
      <c r="E31" s="1" t="s">
        <v>141</v>
      </c>
    </row>
    <row r="32" spans="1:5" x14ac:dyDescent="0.25">
      <c r="A32" s="6" t="s">
        <v>37</v>
      </c>
      <c r="B32" s="7">
        <v>31</v>
      </c>
      <c r="C32" s="7" t="s">
        <v>15</v>
      </c>
      <c r="D32" s="8" t="s">
        <v>71</v>
      </c>
      <c r="E32" s="1" t="s">
        <v>142</v>
      </c>
    </row>
    <row r="33" spans="1:5" x14ac:dyDescent="0.25">
      <c r="A33" s="6" t="s">
        <v>38</v>
      </c>
      <c r="B33" s="7">
        <v>32</v>
      </c>
      <c r="C33" s="7" t="s">
        <v>39</v>
      </c>
      <c r="D33" s="8" t="s">
        <v>39</v>
      </c>
    </row>
    <row r="34" spans="1:5" x14ac:dyDescent="0.25">
      <c r="A34" s="6" t="s">
        <v>40</v>
      </c>
      <c r="B34" s="7">
        <v>33</v>
      </c>
      <c r="C34" s="7" t="s">
        <v>15</v>
      </c>
      <c r="D34" s="8" t="s">
        <v>72</v>
      </c>
      <c r="E34" s="1" t="s">
        <v>143</v>
      </c>
    </row>
    <row r="35" spans="1:5" x14ac:dyDescent="0.25">
      <c r="A35" s="6" t="s">
        <v>41</v>
      </c>
      <c r="B35" s="7">
        <v>34</v>
      </c>
      <c r="C35" s="7" t="s">
        <v>15</v>
      </c>
      <c r="D35" s="8" t="s">
        <v>73</v>
      </c>
      <c r="E35" s="1" t="s">
        <v>154</v>
      </c>
    </row>
    <row r="36" spans="1:5" x14ac:dyDescent="0.25">
      <c r="A36" s="6" t="s">
        <v>42</v>
      </c>
      <c r="B36" s="7">
        <v>35</v>
      </c>
      <c r="C36" s="7" t="s">
        <v>15</v>
      </c>
      <c r="D36" s="8" t="s">
        <v>74</v>
      </c>
      <c r="E36" s="1" t="s">
        <v>155</v>
      </c>
    </row>
    <row r="37" spans="1:5" x14ac:dyDescent="0.25">
      <c r="A37" s="6" t="s">
        <v>43</v>
      </c>
      <c r="B37" s="7">
        <v>36</v>
      </c>
      <c r="C37" s="7" t="s">
        <v>15</v>
      </c>
      <c r="D37" s="8" t="s">
        <v>75</v>
      </c>
      <c r="E37" s="1" t="s">
        <v>144</v>
      </c>
    </row>
    <row r="38" spans="1:5" x14ac:dyDescent="0.25">
      <c r="A38" s="6" t="s">
        <v>44</v>
      </c>
      <c r="B38" s="7">
        <v>37</v>
      </c>
      <c r="C38" s="7" t="s">
        <v>15</v>
      </c>
      <c r="D38" s="8" t="s">
        <v>76</v>
      </c>
      <c r="E38" s="1" t="s">
        <v>145</v>
      </c>
    </row>
    <row r="39" spans="1:5" x14ac:dyDescent="0.25">
      <c r="A39" s="9" t="s">
        <v>4</v>
      </c>
      <c r="B39" s="10">
        <v>38</v>
      </c>
      <c r="C39" s="10" t="s">
        <v>5</v>
      </c>
      <c r="D39" s="11" t="s">
        <v>6</v>
      </c>
      <c r="E39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H33" sqref="H33"/>
    </sheetView>
  </sheetViews>
  <sheetFormatPr baseColWidth="10" defaultColWidth="9.140625" defaultRowHeight="15" x14ac:dyDescent="0.25"/>
  <cols>
    <col min="1" max="1" width="7.85546875" style="16" customWidth="1"/>
    <col min="2" max="2" width="7.42578125" style="16" customWidth="1"/>
    <col min="3" max="3" width="14" style="16" customWidth="1"/>
    <col min="4" max="4" width="85.5703125" bestFit="1" customWidth="1"/>
    <col min="5" max="5" width="7.140625" customWidth="1"/>
    <col min="6" max="6" width="7.7109375" customWidth="1"/>
    <col min="7" max="7" width="8.140625" customWidth="1"/>
    <col min="8" max="8" width="41.28515625" bestFit="1" customWidth="1"/>
    <col min="9" max="9" width="4.7109375" bestFit="1" customWidth="1"/>
    <col min="10" max="10" width="4.42578125" bestFit="1" customWidth="1"/>
    <col min="11" max="11" width="4.5703125" bestFit="1" customWidth="1"/>
    <col min="12" max="12" width="3.7109375" bestFit="1" customWidth="1"/>
    <col min="13" max="13" width="7.28515625" bestFit="1" customWidth="1"/>
    <col min="14" max="14" width="3.28515625" customWidth="1"/>
  </cols>
  <sheetData>
    <row r="1" spans="1:13" s="21" customFormat="1" ht="30.75" thickBot="1" x14ac:dyDescent="0.3">
      <c r="A1" s="34" t="s">
        <v>77</v>
      </c>
      <c r="B1" s="35" t="s">
        <v>0</v>
      </c>
      <c r="C1" s="36" t="s">
        <v>104</v>
      </c>
      <c r="D1" s="37" t="s">
        <v>105</v>
      </c>
      <c r="E1" s="35" t="s">
        <v>114</v>
      </c>
      <c r="F1" s="35" t="s">
        <v>115</v>
      </c>
      <c r="G1" s="35" t="s">
        <v>116</v>
      </c>
      <c r="H1" s="37" t="s">
        <v>117</v>
      </c>
      <c r="I1" s="38" t="s">
        <v>156</v>
      </c>
      <c r="J1" s="38" t="s">
        <v>157</v>
      </c>
      <c r="K1" s="38" t="s">
        <v>158</v>
      </c>
      <c r="L1" s="38" t="s">
        <v>113</v>
      </c>
      <c r="M1" s="39" t="s">
        <v>159</v>
      </c>
    </row>
    <row r="2" spans="1:13" x14ac:dyDescent="0.25">
      <c r="A2" s="22">
        <v>1</v>
      </c>
      <c r="B2" s="23" t="s">
        <v>7</v>
      </c>
      <c r="C2" s="23" t="s">
        <v>7</v>
      </c>
      <c r="D2" s="24" t="str">
        <f>VLOOKUP(C2,Tableau2[],4,FALSE)</f>
        <v>Power supply</v>
      </c>
      <c r="E2" s="24"/>
      <c r="F2" s="24"/>
      <c r="G2" s="24"/>
      <c r="H2" s="24"/>
      <c r="I2" s="23" t="str">
        <f>IF(ISERROR(FIND("ADC",$D2,1)),"","X")</f>
        <v/>
      </c>
      <c r="J2" s="23" t="str">
        <f>IF(ISERROR(FIND("TXD",$D2,1)),"","X")</f>
        <v/>
      </c>
      <c r="K2" s="23" t="str">
        <f>IF(ISERROR(FIND("RXD",$D2,1)),"","X")</f>
        <v/>
      </c>
      <c r="L2" s="23" t="str">
        <f>IF(ISERROR(FIND("SPI",$D2,1)),"","X")</f>
        <v/>
      </c>
      <c r="M2" s="26" t="str">
        <f>IF(ISERROR(FIND("TOUCH",$D2,1)),"","X")</f>
        <v/>
      </c>
    </row>
    <row r="3" spans="1:13" x14ac:dyDescent="0.25">
      <c r="A3" s="27">
        <v>2</v>
      </c>
      <c r="B3" s="19" t="s">
        <v>4</v>
      </c>
      <c r="C3" s="19" t="s">
        <v>4</v>
      </c>
      <c r="D3" s="12" t="str">
        <f>VLOOKUP(C3,Tableau2[],4,FALSE)</f>
        <v>Ground</v>
      </c>
      <c r="E3" s="12"/>
      <c r="F3" s="12"/>
      <c r="G3" s="12"/>
      <c r="H3" s="12"/>
      <c r="I3" s="19" t="str">
        <f t="shared" ref="I3:I31" si="0">IF(ISERROR(FIND("ADC",$D3,1)),"","X")</f>
        <v/>
      </c>
      <c r="J3" s="19" t="str">
        <f t="shared" ref="J3:J31" si="1">IF(ISERROR(FIND("TXD",$D3,1)),"","X")</f>
        <v/>
      </c>
      <c r="K3" s="19" t="str">
        <f t="shared" ref="K3:K31" si="2">IF(ISERROR(FIND("RXD",$D3,1)),"","X")</f>
        <v/>
      </c>
      <c r="L3" s="19" t="str">
        <f t="shared" ref="L3:L31" si="3">IF(ISERROR(FIND("SPI",$D3,1)),"","X")</f>
        <v/>
      </c>
      <c r="M3" s="28" t="str">
        <f t="shared" ref="M3:M31" si="4">IF(ISERROR(FIND("TOUCH",$D3,1)),"","X")</f>
        <v/>
      </c>
    </row>
    <row r="4" spans="1:13" x14ac:dyDescent="0.25">
      <c r="A4" s="27">
        <v>3</v>
      </c>
      <c r="B4" s="19" t="s">
        <v>78</v>
      </c>
      <c r="C4" s="19" t="s">
        <v>29</v>
      </c>
      <c r="D4" s="12" t="str">
        <f>VLOOKUP(C4,Tableau2[],4,FALSE)</f>
        <v>GPIO15, ADC2_CH3, TOUCH3, MTDO, HSPICS0, RTC_GPIO13, HS2_CMD, SD_CMD, EMAC_RXD3</v>
      </c>
      <c r="E4" s="19">
        <v>15</v>
      </c>
      <c r="F4" s="19" t="str">
        <f>VLOOKUP($E4,Utilisation!$A$2:$D$33,2,FALSE)</f>
        <v>OK</v>
      </c>
      <c r="G4" s="19" t="str">
        <f>VLOOKUP($E4,Utilisation!$A$2:$D$33,3,FALSE)</f>
        <v>OK</v>
      </c>
      <c r="H4" s="20" t="str">
        <f>VLOOKUP($E4,Utilisation!$A$2:$D$33,4,FALSE)</f>
        <v xml:space="preserve">outputs PWM signal at boot </v>
      </c>
      <c r="I4" s="40" t="str">
        <f t="shared" si="0"/>
        <v>X</v>
      </c>
      <c r="J4" s="19" t="str">
        <f t="shared" si="1"/>
        <v/>
      </c>
      <c r="K4" s="19" t="str">
        <f t="shared" si="2"/>
        <v>X</v>
      </c>
      <c r="L4" s="19" t="str">
        <f t="shared" si="3"/>
        <v>X</v>
      </c>
      <c r="M4" s="28" t="str">
        <f t="shared" si="4"/>
        <v>X</v>
      </c>
    </row>
    <row r="5" spans="1:13" x14ac:dyDescent="0.25">
      <c r="A5" s="27">
        <v>4</v>
      </c>
      <c r="B5" s="19" t="s">
        <v>103</v>
      </c>
      <c r="C5" s="19" t="s">
        <v>30</v>
      </c>
      <c r="D5" s="12" t="str">
        <f>VLOOKUP(C5,Tableau2[],4,FALSE)</f>
        <v>GPIO2, ADC2_CH2, TOUCH2, RTC_GPIO12, HSPIWP, HS2_DATA0, SD_DATA0</v>
      </c>
      <c r="E5" s="19">
        <v>2</v>
      </c>
      <c r="F5" s="19" t="str">
        <f>VLOOKUP($E5,Utilisation!$A$2:$D$33,2,FALSE)</f>
        <v>OK</v>
      </c>
      <c r="G5" s="19" t="str">
        <f>VLOOKUP($E5,Utilisation!$A$2:$D$33,3,FALSE)</f>
        <v>OK</v>
      </c>
      <c r="H5" s="20" t="str">
        <f>VLOOKUP($E5,Utilisation!$A$2:$D$33,4,FALSE)</f>
        <v xml:space="preserve">connected to on-board LED  </v>
      </c>
      <c r="I5" s="40" t="str">
        <f t="shared" si="0"/>
        <v>X</v>
      </c>
      <c r="J5" s="19" t="str">
        <f t="shared" si="1"/>
        <v/>
      </c>
      <c r="K5" s="19" t="str">
        <f t="shared" si="2"/>
        <v/>
      </c>
      <c r="L5" s="19" t="str">
        <f t="shared" si="3"/>
        <v>X</v>
      </c>
      <c r="M5" s="28" t="str">
        <f t="shared" si="4"/>
        <v>X</v>
      </c>
    </row>
    <row r="6" spans="1:13" x14ac:dyDescent="0.25">
      <c r="A6" s="27">
        <v>5</v>
      </c>
      <c r="B6" s="19" t="s">
        <v>79</v>
      </c>
      <c r="C6" s="19" t="s">
        <v>32</v>
      </c>
      <c r="D6" s="12" t="str">
        <f>VLOOKUP(C6,Tableau2[],4,FALSE)</f>
        <v>GPIO4, ADC2_CH0, TOUCH0, RTC_GPIO10, HSPIHD, HS2_DATA1, SD_DATA1, EMAC_TX_ER</v>
      </c>
      <c r="E6" s="19">
        <v>4</v>
      </c>
      <c r="F6" s="19" t="str">
        <f>VLOOKUP($E6,Utilisation!$A$2:$D$33,2,FALSE)</f>
        <v>OK</v>
      </c>
      <c r="G6" s="19" t="str">
        <f>VLOOKUP($E6,Utilisation!$A$2:$D$33,3,FALSE)</f>
        <v>OK</v>
      </c>
      <c r="H6" s="20" t="str">
        <f>VLOOKUP($E6,Utilisation!$A$2:$D$33,4,FALSE)</f>
        <v xml:space="preserve">     </v>
      </c>
      <c r="I6" s="40" t="str">
        <f t="shared" si="0"/>
        <v>X</v>
      </c>
      <c r="J6" s="19" t="str">
        <f t="shared" si="1"/>
        <v/>
      </c>
      <c r="K6" s="19" t="str">
        <f t="shared" si="2"/>
        <v/>
      </c>
      <c r="L6" s="19" t="str">
        <f t="shared" si="3"/>
        <v>X</v>
      </c>
      <c r="M6" s="28" t="str">
        <f t="shared" si="4"/>
        <v>X</v>
      </c>
    </row>
    <row r="7" spans="1:13" x14ac:dyDescent="0.25">
      <c r="A7" s="27">
        <v>6</v>
      </c>
      <c r="B7" s="19" t="s">
        <v>80</v>
      </c>
      <c r="C7" s="19" t="s">
        <v>33</v>
      </c>
      <c r="D7" s="12" t="str">
        <f>VLOOKUP(C7,Tableau2[],4,FALSE)</f>
        <v>GPIO16, HS1_DATA4, U2RXD, EMAC_CLK_OUT</v>
      </c>
      <c r="E7" s="19">
        <v>16</v>
      </c>
      <c r="F7" s="19" t="str">
        <f>VLOOKUP($E7,Utilisation!$A$2:$D$33,2,FALSE)</f>
        <v>OK</v>
      </c>
      <c r="G7" s="19" t="str">
        <f>VLOOKUP($E7,Utilisation!$A$2:$D$33,3,FALSE)</f>
        <v>OK</v>
      </c>
      <c r="H7" s="20" t="str">
        <f>VLOOKUP($E7,Utilisation!$A$2:$D$33,4,FALSE)</f>
        <v xml:space="preserve">     </v>
      </c>
      <c r="I7" s="19" t="str">
        <f t="shared" si="0"/>
        <v/>
      </c>
      <c r="J7" s="19" t="str">
        <f t="shared" si="1"/>
        <v/>
      </c>
      <c r="K7" s="19" t="str">
        <f t="shared" si="2"/>
        <v>X</v>
      </c>
      <c r="L7" s="19" t="str">
        <f t="shared" si="3"/>
        <v/>
      </c>
      <c r="M7" s="28" t="str">
        <f t="shared" si="4"/>
        <v/>
      </c>
    </row>
    <row r="8" spans="1:13" x14ac:dyDescent="0.25">
      <c r="A8" s="27">
        <v>7</v>
      </c>
      <c r="B8" s="19" t="s">
        <v>81</v>
      </c>
      <c r="C8" s="19" t="s">
        <v>34</v>
      </c>
      <c r="D8" s="12" t="str">
        <f>VLOOKUP(C8,Tableau2[],4,FALSE)</f>
        <v>GPIO17, HS1_DATA5, U2TXD, EMAC_CLK_OUT_180</v>
      </c>
      <c r="E8" s="19">
        <v>17</v>
      </c>
      <c r="F8" s="19" t="str">
        <f>VLOOKUP($E8,Utilisation!$A$2:$D$33,2,FALSE)</f>
        <v>OK</v>
      </c>
      <c r="G8" s="19" t="str">
        <f>VLOOKUP($E8,Utilisation!$A$2:$D$33,3,FALSE)</f>
        <v>OK</v>
      </c>
      <c r="H8" s="20" t="str">
        <f>VLOOKUP($E8,Utilisation!$A$2:$D$33,4,FALSE)</f>
        <v xml:space="preserve">     </v>
      </c>
      <c r="I8" s="19" t="str">
        <f t="shared" si="0"/>
        <v/>
      </c>
      <c r="J8" s="19" t="str">
        <f t="shared" si="1"/>
        <v>X</v>
      </c>
      <c r="K8" s="19" t="str">
        <f t="shared" si="2"/>
        <v/>
      </c>
      <c r="L8" s="19" t="str">
        <f t="shared" si="3"/>
        <v/>
      </c>
      <c r="M8" s="28" t="str">
        <f t="shared" si="4"/>
        <v/>
      </c>
    </row>
    <row r="9" spans="1:13" x14ac:dyDescent="0.25">
      <c r="A9" s="27">
        <v>8</v>
      </c>
      <c r="B9" s="19" t="s">
        <v>82</v>
      </c>
      <c r="C9" s="19" t="s">
        <v>35</v>
      </c>
      <c r="D9" s="12" t="str">
        <f>VLOOKUP(C9,Tableau2[],4,FALSE)</f>
        <v>GPIO5, VSPICS0, HS1_DATA6, EMAC_RX_CLK</v>
      </c>
      <c r="E9" s="19">
        <v>5</v>
      </c>
      <c r="F9" s="19" t="str">
        <f>VLOOKUP($E9,Utilisation!$A$2:$D$33,2,FALSE)</f>
        <v>OK</v>
      </c>
      <c r="G9" s="19" t="str">
        <f>VLOOKUP($E9,Utilisation!$A$2:$D$33,3,FALSE)</f>
        <v>OK</v>
      </c>
      <c r="H9" s="20" t="str">
        <f>VLOOKUP($E9,Utilisation!$A$2:$D$33,4,FALSE)</f>
        <v>outputs PWM signal at boot - 10k in serial</v>
      </c>
      <c r="I9" s="19" t="str">
        <f t="shared" si="0"/>
        <v/>
      </c>
      <c r="J9" s="19" t="str">
        <f t="shared" si="1"/>
        <v/>
      </c>
      <c r="K9" s="19" t="str">
        <f t="shared" si="2"/>
        <v/>
      </c>
      <c r="L9" s="19" t="str">
        <f t="shared" si="3"/>
        <v>X</v>
      </c>
      <c r="M9" s="28" t="str">
        <f t="shared" si="4"/>
        <v/>
      </c>
    </row>
    <row r="10" spans="1:13" x14ac:dyDescent="0.25">
      <c r="A10" s="27">
        <v>9</v>
      </c>
      <c r="B10" s="19" t="s">
        <v>83</v>
      </c>
      <c r="C10" s="19" t="s">
        <v>36</v>
      </c>
      <c r="D10" s="12" t="str">
        <f>VLOOKUP(C10,Tableau2[],4,FALSE)</f>
        <v>GPIO18, VSPICLK, HS1_DATA7</v>
      </c>
      <c r="E10" s="19">
        <v>18</v>
      </c>
      <c r="F10" s="19" t="str">
        <f>VLOOKUP($E10,Utilisation!$A$2:$D$33,2,FALSE)</f>
        <v>OK</v>
      </c>
      <c r="G10" s="19" t="str">
        <f>VLOOKUP($E10,Utilisation!$A$2:$D$33,3,FALSE)</f>
        <v>OK</v>
      </c>
      <c r="H10" s="20" t="str">
        <f>VLOOKUP($E10,Utilisation!$A$2:$D$33,4,FALSE)</f>
        <v xml:space="preserve">     </v>
      </c>
      <c r="I10" s="19" t="str">
        <f t="shared" si="0"/>
        <v/>
      </c>
      <c r="J10" s="19" t="str">
        <f t="shared" si="1"/>
        <v/>
      </c>
      <c r="K10" s="19" t="str">
        <f t="shared" si="2"/>
        <v/>
      </c>
      <c r="L10" s="19" t="str">
        <f t="shared" si="3"/>
        <v>X</v>
      </c>
      <c r="M10" s="28" t="str">
        <f t="shared" si="4"/>
        <v/>
      </c>
    </row>
    <row r="11" spans="1:13" x14ac:dyDescent="0.25">
      <c r="A11" s="27">
        <v>10</v>
      </c>
      <c r="B11" s="19" t="s">
        <v>84</v>
      </c>
      <c r="C11" s="19" t="s">
        <v>37</v>
      </c>
      <c r="D11" s="12" t="str">
        <f>VLOOKUP(C11,Tableau2[],4,FALSE)</f>
        <v>GPIO19, VSPIQ, U0CTS, EMAC_TXD0</v>
      </c>
      <c r="E11" s="19">
        <v>19</v>
      </c>
      <c r="F11" s="19" t="str">
        <f>VLOOKUP($E11,Utilisation!$A$2:$D$33,2,FALSE)</f>
        <v>OK</v>
      </c>
      <c r="G11" s="19" t="str">
        <f>VLOOKUP($E11,Utilisation!$A$2:$D$33,3,FALSE)</f>
        <v>OK</v>
      </c>
      <c r="H11" s="20" t="str">
        <f>VLOOKUP($E11,Utilisation!$A$2:$D$33,4,FALSE)</f>
        <v xml:space="preserve">     </v>
      </c>
      <c r="I11" s="19" t="str">
        <f t="shared" si="0"/>
        <v/>
      </c>
      <c r="J11" s="19" t="str">
        <f t="shared" si="1"/>
        <v>X</v>
      </c>
      <c r="K11" s="19" t="str">
        <f t="shared" si="2"/>
        <v/>
      </c>
      <c r="L11" s="19" t="str">
        <f t="shared" si="3"/>
        <v>X</v>
      </c>
      <c r="M11" s="28" t="str">
        <f t="shared" si="4"/>
        <v/>
      </c>
    </row>
    <row r="12" spans="1:13" x14ac:dyDescent="0.25">
      <c r="A12" s="27">
        <v>11</v>
      </c>
      <c r="B12" s="19" t="s">
        <v>85</v>
      </c>
      <c r="C12" s="19" t="s">
        <v>40</v>
      </c>
      <c r="D12" s="12" t="str">
        <f>VLOOKUP(C12,Tableau2[],4,FALSE)</f>
        <v>GPIO21, VSPIHD, EMAC_TX_EN</v>
      </c>
      <c r="E12" s="19">
        <v>21</v>
      </c>
      <c r="F12" s="19" t="str">
        <f>VLOOKUP($E12,Utilisation!$A$2:$D$33,2,FALSE)</f>
        <v>OK</v>
      </c>
      <c r="G12" s="19" t="str">
        <f>VLOOKUP($E12,Utilisation!$A$2:$D$33,3,FALSE)</f>
        <v>OK</v>
      </c>
      <c r="H12" s="20" t="str">
        <f>VLOOKUP($E12,Utilisation!$A$2:$D$33,4,FALSE)</f>
        <v xml:space="preserve">     </v>
      </c>
      <c r="I12" s="19" t="str">
        <f t="shared" si="0"/>
        <v/>
      </c>
      <c r="J12" s="19" t="str">
        <f t="shared" si="1"/>
        <v/>
      </c>
      <c r="K12" s="19" t="str">
        <f t="shared" si="2"/>
        <v/>
      </c>
      <c r="L12" s="19" t="str">
        <f t="shared" si="3"/>
        <v>X</v>
      </c>
      <c r="M12" s="28" t="str">
        <f t="shared" si="4"/>
        <v/>
      </c>
    </row>
    <row r="13" spans="1:13" x14ac:dyDescent="0.25">
      <c r="A13" s="27">
        <v>12</v>
      </c>
      <c r="B13" s="19" t="s">
        <v>86</v>
      </c>
      <c r="C13" s="19" t="s">
        <v>41</v>
      </c>
      <c r="D13" s="12" t="str">
        <f>VLOOKUP(C13,Tableau2[],4,FALSE)</f>
        <v>GPIO3, U0RXD, CLK_OUT2</v>
      </c>
      <c r="E13" s="19">
        <v>3</v>
      </c>
      <c r="F13" s="19" t="str">
        <f>VLOOKUP($E13,Utilisation!$A$2:$D$33,2,FALSE)</f>
        <v>RX pin</v>
      </c>
      <c r="G13" s="19" t="str">
        <f>VLOOKUP($E13,Utilisation!$A$2:$D$33,3,FALSE)</f>
        <v>RX</v>
      </c>
      <c r="H13" s="20" t="str">
        <f>VLOOKUP($E13,Utilisation!$A$2:$D$33,4,FALSE)</f>
        <v>pin HIGH at boot  - used for USB downloading</v>
      </c>
      <c r="I13" s="19" t="str">
        <f t="shared" si="0"/>
        <v/>
      </c>
      <c r="J13" s="19" t="str">
        <f t="shared" si="1"/>
        <v/>
      </c>
      <c r="K13" s="19" t="str">
        <f t="shared" si="2"/>
        <v>X</v>
      </c>
      <c r="L13" s="19" t="str">
        <f t="shared" si="3"/>
        <v/>
      </c>
      <c r="M13" s="28" t="str">
        <f t="shared" si="4"/>
        <v/>
      </c>
    </row>
    <row r="14" spans="1:13" x14ac:dyDescent="0.25">
      <c r="A14" s="27">
        <v>13</v>
      </c>
      <c r="B14" s="19" t="s">
        <v>87</v>
      </c>
      <c r="C14" s="19" t="s">
        <v>42</v>
      </c>
      <c r="D14" s="12" t="str">
        <f>VLOOKUP(C14,Tableau2[],4,FALSE)</f>
        <v>GPIO1, U0TXD, CLK_OUT3, EMAC_RXD2</v>
      </c>
      <c r="E14" s="19">
        <v>1</v>
      </c>
      <c r="F14" s="19" t="str">
        <f>VLOOKUP($E14,Utilisation!$A$2:$D$33,2,FALSE)</f>
        <v>TX pin</v>
      </c>
      <c r="G14" s="19" t="str">
        <f>VLOOKUP($E14,Utilisation!$A$2:$D$33,3,FALSE)</f>
        <v>OK</v>
      </c>
      <c r="H14" s="20" t="str">
        <f>VLOOKUP($E14,Utilisation!$A$2:$D$33,4,FALSE)</f>
        <v>debug output at boot  - 10k in serial</v>
      </c>
      <c r="I14" s="19" t="str">
        <f t="shared" si="0"/>
        <v/>
      </c>
      <c r="J14" s="19" t="str">
        <f t="shared" si="1"/>
        <v>X</v>
      </c>
      <c r="K14" s="19" t="str">
        <f t="shared" si="2"/>
        <v>X</v>
      </c>
      <c r="L14" s="19" t="str">
        <f t="shared" si="3"/>
        <v/>
      </c>
      <c r="M14" s="28" t="str">
        <f t="shared" si="4"/>
        <v/>
      </c>
    </row>
    <row r="15" spans="1:13" x14ac:dyDescent="0.25">
      <c r="A15" s="27">
        <v>14</v>
      </c>
      <c r="B15" s="19" t="s">
        <v>88</v>
      </c>
      <c r="C15" s="19" t="s">
        <v>43</v>
      </c>
      <c r="D15" s="12" t="str">
        <f>VLOOKUP(C15,Tableau2[],4,FALSE)</f>
        <v>GPIO22, VSPIWP, U0RTS, EMAC_TXD1</v>
      </c>
      <c r="E15" s="19">
        <v>22</v>
      </c>
      <c r="F15" s="19" t="str">
        <f>VLOOKUP($E15,Utilisation!$A$2:$D$33,2,FALSE)</f>
        <v>OK</v>
      </c>
      <c r="G15" s="19" t="str">
        <f>VLOOKUP($E15,Utilisation!$A$2:$D$33,3,FALSE)</f>
        <v>OK</v>
      </c>
      <c r="H15" s="20" t="str">
        <f>VLOOKUP($E15,Utilisation!$A$2:$D$33,4,FALSE)</f>
        <v xml:space="preserve">     </v>
      </c>
      <c r="I15" s="19" t="str">
        <f t="shared" si="0"/>
        <v/>
      </c>
      <c r="J15" s="19" t="str">
        <f t="shared" si="1"/>
        <v>X</v>
      </c>
      <c r="K15" s="19" t="str">
        <f t="shared" si="2"/>
        <v/>
      </c>
      <c r="L15" s="19" t="str">
        <f t="shared" si="3"/>
        <v>X</v>
      </c>
      <c r="M15" s="28" t="str">
        <f t="shared" si="4"/>
        <v/>
      </c>
    </row>
    <row r="16" spans="1:13" ht="15.75" thickBot="1" x14ac:dyDescent="0.3">
      <c r="A16" s="29">
        <v>15</v>
      </c>
      <c r="B16" s="30" t="s">
        <v>89</v>
      </c>
      <c r="C16" s="30" t="s">
        <v>44</v>
      </c>
      <c r="D16" s="31" t="str">
        <f>VLOOKUP(C16,Tableau2[],4,FALSE)</f>
        <v>GPIO23, VSPID, HS1_STROBE</v>
      </c>
      <c r="E16" s="30">
        <v>23</v>
      </c>
      <c r="F16" s="30" t="str">
        <f>VLOOKUP($E16,Utilisation!$A$2:$D$33,2,FALSE)</f>
        <v>OK</v>
      </c>
      <c r="G16" s="30" t="str">
        <f>VLOOKUP($E16,Utilisation!$A$2:$D$33,3,FALSE)</f>
        <v>OK</v>
      </c>
      <c r="H16" s="33" t="str">
        <f>VLOOKUP($E16,Utilisation!$A$2:$D$33,4,FALSE)</f>
        <v xml:space="preserve">     </v>
      </c>
      <c r="I16" s="30" t="str">
        <f t="shared" si="0"/>
        <v/>
      </c>
      <c r="J16" s="30" t="str">
        <f t="shared" si="1"/>
        <v/>
      </c>
      <c r="K16" s="30" t="str">
        <f t="shared" si="2"/>
        <v/>
      </c>
      <c r="L16" s="30" t="str">
        <f t="shared" si="3"/>
        <v>X</v>
      </c>
      <c r="M16" s="32" t="str">
        <f t="shared" si="4"/>
        <v/>
      </c>
    </row>
    <row r="17" spans="1:13" x14ac:dyDescent="0.25">
      <c r="A17" s="22">
        <v>16</v>
      </c>
      <c r="B17" s="23" t="s">
        <v>8</v>
      </c>
      <c r="C17" s="23" t="s">
        <v>8</v>
      </c>
      <c r="D17" s="24" t="str">
        <f>VLOOKUP(C17,Tableau2[],4,FALSE)</f>
        <v>Module-enable signal. Active high.</v>
      </c>
      <c r="E17" s="23"/>
      <c r="F17" s="23"/>
      <c r="G17" s="23"/>
      <c r="H17" s="25"/>
      <c r="I17" s="23" t="str">
        <f t="shared" si="0"/>
        <v/>
      </c>
      <c r="J17" s="23" t="str">
        <f t="shared" si="1"/>
        <v/>
      </c>
      <c r="K17" s="23" t="str">
        <f t="shared" si="2"/>
        <v/>
      </c>
      <c r="L17" s="23" t="str">
        <f t="shared" si="3"/>
        <v/>
      </c>
      <c r="M17" s="26" t="str">
        <f t="shared" si="4"/>
        <v/>
      </c>
    </row>
    <row r="18" spans="1:13" x14ac:dyDescent="0.25">
      <c r="A18" s="27">
        <v>17</v>
      </c>
      <c r="B18" s="19" t="s">
        <v>90</v>
      </c>
      <c r="C18" s="19" t="s">
        <v>10</v>
      </c>
      <c r="D18" s="12" t="str">
        <f>VLOOKUP(C18,Tableau2[],4,FALSE)</f>
        <v>GPIO36, ADC1_CH0, RTC_GPIO0</v>
      </c>
      <c r="E18" s="19">
        <v>36</v>
      </c>
      <c r="F18" s="19" t="str">
        <f>VLOOKUP($E18,Utilisation!$A$2:$D$33,2,FALSE)</f>
        <v>OK</v>
      </c>
      <c r="G18" s="19" t="str">
        <f>VLOOKUP($E18,Utilisation!$A$2:$D$33,3,FALSE)</f>
        <v>x</v>
      </c>
      <c r="H18" s="20" t="str">
        <f>VLOOKUP($E18,Utilisation!$A$2:$D$33,4,FALSE)</f>
        <v>input only with no pullup</v>
      </c>
      <c r="I18" s="19" t="str">
        <f t="shared" si="0"/>
        <v>X</v>
      </c>
      <c r="J18" s="19" t="str">
        <f t="shared" si="1"/>
        <v/>
      </c>
      <c r="K18" s="19" t="str">
        <f t="shared" si="2"/>
        <v/>
      </c>
      <c r="L18" s="19" t="str">
        <f t="shared" si="3"/>
        <v/>
      </c>
      <c r="M18" s="28" t="str">
        <f t="shared" si="4"/>
        <v/>
      </c>
    </row>
    <row r="19" spans="1:13" x14ac:dyDescent="0.25">
      <c r="A19" s="27">
        <v>18</v>
      </c>
      <c r="B19" s="19" t="s">
        <v>91</v>
      </c>
      <c r="C19" s="19" t="s">
        <v>11</v>
      </c>
      <c r="D19" s="12" t="str">
        <f>VLOOKUP(C19,Tableau2[],4,FALSE)</f>
        <v>GPIO39, ADC1_CH3, RTC_GPIO3</v>
      </c>
      <c r="E19" s="19">
        <v>39</v>
      </c>
      <c r="F19" s="19" t="str">
        <f>VLOOKUP($E19,Utilisation!$A$2:$D$33,2,FALSE)</f>
        <v>OK</v>
      </c>
      <c r="G19" s="19" t="str">
        <f>VLOOKUP($E19,Utilisation!$A$2:$D$33,3,FALSE)</f>
        <v>x</v>
      </c>
      <c r="H19" s="20" t="str">
        <f>VLOOKUP($E19,Utilisation!$A$2:$D$33,4,FALSE)</f>
        <v>input only with no pullup</v>
      </c>
      <c r="I19" s="19" t="str">
        <f t="shared" si="0"/>
        <v>X</v>
      </c>
      <c r="J19" s="19" t="str">
        <f t="shared" si="1"/>
        <v/>
      </c>
      <c r="K19" s="19" t="str">
        <f t="shared" si="2"/>
        <v/>
      </c>
      <c r="L19" s="19" t="str">
        <f t="shared" si="3"/>
        <v/>
      </c>
      <c r="M19" s="28" t="str">
        <f t="shared" si="4"/>
        <v/>
      </c>
    </row>
    <row r="20" spans="1:13" x14ac:dyDescent="0.25">
      <c r="A20" s="27">
        <v>19</v>
      </c>
      <c r="B20" s="19" t="s">
        <v>92</v>
      </c>
      <c r="C20" s="19" t="s">
        <v>12</v>
      </c>
      <c r="D20" s="12" t="str">
        <f>VLOOKUP(C20,Tableau2[],4,FALSE)</f>
        <v>GPIO34, ADC1_CH6, RTC_GPIO4</v>
      </c>
      <c r="E20" s="19">
        <v>34</v>
      </c>
      <c r="F20" s="19" t="str">
        <f>VLOOKUP($E20,Utilisation!$A$2:$D$33,2,FALSE)</f>
        <v>OK</v>
      </c>
      <c r="G20" s="19" t="str">
        <f>VLOOKUP($E20,Utilisation!$A$2:$D$33,3,FALSE)</f>
        <v>x</v>
      </c>
      <c r="H20" s="20" t="str">
        <f>VLOOKUP($E20,Utilisation!$A$2:$D$33,4,FALSE)</f>
        <v>input only with no pullup</v>
      </c>
      <c r="I20" s="19" t="str">
        <f t="shared" si="0"/>
        <v>X</v>
      </c>
      <c r="J20" s="19" t="str">
        <f t="shared" si="1"/>
        <v/>
      </c>
      <c r="K20" s="19" t="str">
        <f t="shared" si="2"/>
        <v/>
      </c>
      <c r="L20" s="19" t="str">
        <f t="shared" si="3"/>
        <v/>
      </c>
      <c r="M20" s="28" t="str">
        <f t="shared" si="4"/>
        <v/>
      </c>
    </row>
    <row r="21" spans="1:13" x14ac:dyDescent="0.25">
      <c r="A21" s="27">
        <v>20</v>
      </c>
      <c r="B21" s="19" t="s">
        <v>93</v>
      </c>
      <c r="C21" s="19" t="s">
        <v>13</v>
      </c>
      <c r="D21" s="12" t="str">
        <f>VLOOKUP(C21,Tableau2[],4,FALSE)</f>
        <v>GPIO35, ADC1_CH7, RTC_GPIO5</v>
      </c>
      <c r="E21" s="19">
        <v>35</v>
      </c>
      <c r="F21" s="19" t="str">
        <f>VLOOKUP($E21,Utilisation!$A$2:$D$33,2,FALSE)</f>
        <v>OK</v>
      </c>
      <c r="G21" s="19" t="str">
        <f>VLOOKUP($E21,Utilisation!$A$2:$D$33,3,FALSE)</f>
        <v>x</v>
      </c>
      <c r="H21" s="20" t="str">
        <f>VLOOKUP($E21,Utilisation!$A$2:$D$33,4,FALSE)</f>
        <v>input only with no pullup</v>
      </c>
      <c r="I21" s="19" t="str">
        <f t="shared" si="0"/>
        <v>X</v>
      </c>
      <c r="J21" s="19" t="str">
        <f t="shared" si="1"/>
        <v/>
      </c>
      <c r="K21" s="19" t="str">
        <f t="shared" si="2"/>
        <v/>
      </c>
      <c r="L21" s="19" t="str">
        <f t="shared" si="3"/>
        <v/>
      </c>
      <c r="M21" s="28" t="str">
        <f t="shared" si="4"/>
        <v/>
      </c>
    </row>
    <row r="22" spans="1:13" x14ac:dyDescent="0.25">
      <c r="A22" s="27">
        <v>21</v>
      </c>
      <c r="B22" s="19" t="s">
        <v>94</v>
      </c>
      <c r="C22" s="19" t="s">
        <v>14</v>
      </c>
      <c r="D22" s="12" t="str">
        <f>VLOOKUP(C22,Tableau2[],4,FALSE)</f>
        <v>GPIO32, XTAL_32K_P (32.768 kHz crystal oscillator input), ADC1_CH4, TOUCH9, RTC_GPIO9</v>
      </c>
      <c r="E22" s="19">
        <v>32</v>
      </c>
      <c r="F22" s="19" t="str">
        <f>VLOOKUP($E22,Utilisation!$A$2:$D$33,2,FALSE)</f>
        <v>OK</v>
      </c>
      <c r="G22" s="19" t="str">
        <f>VLOOKUP($E22,Utilisation!$A$2:$D$33,3,FALSE)</f>
        <v>OK</v>
      </c>
      <c r="H22" s="20" t="str">
        <f>VLOOKUP($E22,Utilisation!$A$2:$D$33,4,FALSE)</f>
        <v xml:space="preserve">     </v>
      </c>
      <c r="I22" s="19" t="str">
        <f t="shared" si="0"/>
        <v>X</v>
      </c>
      <c r="J22" s="19" t="str">
        <f t="shared" si="1"/>
        <v/>
      </c>
      <c r="K22" s="19" t="str">
        <f t="shared" si="2"/>
        <v/>
      </c>
      <c r="L22" s="19" t="str">
        <f t="shared" si="3"/>
        <v/>
      </c>
      <c r="M22" s="28" t="str">
        <f t="shared" si="4"/>
        <v>X</v>
      </c>
    </row>
    <row r="23" spans="1:13" x14ac:dyDescent="0.25">
      <c r="A23" s="27">
        <v>22</v>
      </c>
      <c r="B23" s="19" t="s">
        <v>95</v>
      </c>
      <c r="C23" s="19" t="s">
        <v>16</v>
      </c>
      <c r="D23" s="12" t="str">
        <f>VLOOKUP(C23,Tableau2[],4,FALSE)</f>
        <v>GPIO33, XTAL_32K_N (32.768 kHz crystal oscillator output), ADC1_CH5, TOUCH8, RTC_GPIO8</v>
      </c>
      <c r="E23" s="19">
        <v>33</v>
      </c>
      <c r="F23" s="19" t="str">
        <f>VLOOKUP($E23,Utilisation!$A$2:$D$33,2,FALSE)</f>
        <v>OK</v>
      </c>
      <c r="G23" s="19" t="str">
        <f>VLOOKUP($E23,Utilisation!$A$2:$D$33,3,FALSE)</f>
        <v>OK</v>
      </c>
      <c r="H23" s="20" t="str">
        <f>VLOOKUP($E23,Utilisation!$A$2:$D$33,4,FALSE)</f>
        <v xml:space="preserve">     </v>
      </c>
      <c r="I23" s="19" t="str">
        <f t="shared" si="0"/>
        <v>X</v>
      </c>
      <c r="J23" s="19" t="str">
        <f t="shared" si="1"/>
        <v/>
      </c>
      <c r="K23" s="19" t="str">
        <f t="shared" si="2"/>
        <v/>
      </c>
      <c r="L23" s="19" t="str">
        <f t="shared" si="3"/>
        <v/>
      </c>
      <c r="M23" s="28" t="str">
        <f t="shared" si="4"/>
        <v>X</v>
      </c>
    </row>
    <row r="24" spans="1:13" x14ac:dyDescent="0.25">
      <c r="A24" s="27">
        <v>23</v>
      </c>
      <c r="B24" s="19" t="s">
        <v>96</v>
      </c>
      <c r="C24" s="19" t="s">
        <v>17</v>
      </c>
      <c r="D24" s="12" t="str">
        <f>VLOOKUP(C24,Tableau2[],4,FALSE)</f>
        <v>GPIO25, DAC_1, ADC2_CH8, RTC_GPIO6, EMAC_RXD0</v>
      </c>
      <c r="E24" s="19">
        <v>25</v>
      </c>
      <c r="F24" s="19" t="str">
        <f>VLOOKUP($E24,Utilisation!$A$2:$D$33,2,FALSE)</f>
        <v>OK</v>
      </c>
      <c r="G24" s="19" t="str">
        <f>VLOOKUP($E24,Utilisation!$A$2:$D$33,3,FALSE)</f>
        <v>OK</v>
      </c>
      <c r="H24" s="20" t="str">
        <f>VLOOKUP($E24,Utilisation!$A$2:$D$33,4,FALSE)</f>
        <v xml:space="preserve">     </v>
      </c>
      <c r="I24" s="40" t="str">
        <f t="shared" si="0"/>
        <v>X</v>
      </c>
      <c r="J24" s="19" t="str">
        <f t="shared" si="1"/>
        <v/>
      </c>
      <c r="K24" s="19" t="str">
        <f t="shared" si="2"/>
        <v>X</v>
      </c>
      <c r="L24" s="19" t="str">
        <f t="shared" si="3"/>
        <v/>
      </c>
      <c r="M24" s="28" t="str">
        <f t="shared" si="4"/>
        <v/>
      </c>
    </row>
    <row r="25" spans="1:13" x14ac:dyDescent="0.25">
      <c r="A25" s="27">
        <v>24</v>
      </c>
      <c r="B25" s="19" t="s">
        <v>97</v>
      </c>
      <c r="C25" s="19" t="s">
        <v>18</v>
      </c>
      <c r="D25" s="12" t="str">
        <f>VLOOKUP(C25,Tableau2[],4,FALSE)</f>
        <v>GPIO26, DAC_2, ADC2_CH9, RTC_GPIO7, EMAC_RXD1</v>
      </c>
      <c r="E25" s="19">
        <v>26</v>
      </c>
      <c r="F25" s="19" t="str">
        <f>VLOOKUP($E25,Utilisation!$A$2:$D$33,2,FALSE)</f>
        <v>OK</v>
      </c>
      <c r="G25" s="19" t="str">
        <f>VLOOKUP($E25,Utilisation!$A$2:$D$33,3,FALSE)</f>
        <v>OK</v>
      </c>
      <c r="H25" s="20" t="str">
        <f>VLOOKUP($E25,Utilisation!$A$2:$D$33,4,FALSE)</f>
        <v xml:space="preserve">     </v>
      </c>
      <c r="I25" s="40" t="str">
        <f t="shared" si="0"/>
        <v>X</v>
      </c>
      <c r="J25" s="19" t="str">
        <f t="shared" si="1"/>
        <v/>
      </c>
      <c r="K25" s="19" t="str">
        <f t="shared" si="2"/>
        <v>X</v>
      </c>
      <c r="L25" s="19" t="str">
        <f t="shared" si="3"/>
        <v/>
      </c>
      <c r="M25" s="28" t="str">
        <f t="shared" si="4"/>
        <v/>
      </c>
    </row>
    <row r="26" spans="1:13" x14ac:dyDescent="0.25">
      <c r="A26" s="27">
        <v>25</v>
      </c>
      <c r="B26" s="19" t="s">
        <v>98</v>
      </c>
      <c r="C26" s="19" t="s">
        <v>19</v>
      </c>
      <c r="D26" s="12" t="str">
        <f>VLOOKUP(C26,Tableau2[],4,FALSE)</f>
        <v>GPIO27, ADC2_CH7, TOUCH7, RTC_GPIO17, EMAC_RX_DV</v>
      </c>
      <c r="E26" s="19">
        <v>27</v>
      </c>
      <c r="F26" s="19" t="str">
        <f>VLOOKUP($E26,Utilisation!$A$2:$D$33,2,FALSE)</f>
        <v>OK</v>
      </c>
      <c r="G26" s="19" t="str">
        <f>VLOOKUP($E26,Utilisation!$A$2:$D$33,3,FALSE)</f>
        <v>OK</v>
      </c>
      <c r="H26" s="20" t="str">
        <f>VLOOKUP($E26,Utilisation!$A$2:$D$33,4,FALSE)</f>
        <v xml:space="preserve">     </v>
      </c>
      <c r="I26" s="40" t="str">
        <f t="shared" si="0"/>
        <v>X</v>
      </c>
      <c r="J26" s="19" t="str">
        <f t="shared" si="1"/>
        <v/>
      </c>
      <c r="K26" s="19" t="str">
        <f t="shared" si="2"/>
        <v/>
      </c>
      <c r="L26" s="19" t="str">
        <f t="shared" si="3"/>
        <v/>
      </c>
      <c r="M26" s="28" t="str">
        <f t="shared" si="4"/>
        <v>X</v>
      </c>
    </row>
    <row r="27" spans="1:13" x14ac:dyDescent="0.25">
      <c r="A27" s="27">
        <v>26</v>
      </c>
      <c r="B27" s="19" t="s">
        <v>99</v>
      </c>
      <c r="C27" s="19" t="s">
        <v>20</v>
      </c>
      <c r="D27" s="12" t="str">
        <f>VLOOKUP(C27,Tableau2[],4,FALSE)</f>
        <v>GPIO14, ADC2_CH6, TOUCH6, RTC_GPIO16, MTMS, HSPICLK, HS2_CLK, SD_CLK, EMAC_TXD2</v>
      </c>
      <c r="E27" s="19">
        <v>14</v>
      </c>
      <c r="F27" s="19" t="str">
        <f>VLOOKUP($E27,Utilisation!$A$2:$D$33,2,FALSE)</f>
        <v>OK</v>
      </c>
      <c r="G27" s="19" t="str">
        <f>VLOOKUP($E27,Utilisation!$A$2:$D$33,3,FALSE)</f>
        <v>OK</v>
      </c>
      <c r="H27" s="20" t="str">
        <f>VLOOKUP($E27,Utilisation!$A$2:$D$33,4,FALSE)</f>
        <v xml:space="preserve">outputs PWM signal at boot </v>
      </c>
      <c r="I27" s="40" t="str">
        <f t="shared" si="0"/>
        <v>X</v>
      </c>
      <c r="J27" s="19" t="str">
        <f t="shared" si="1"/>
        <v>X</v>
      </c>
      <c r="K27" s="19" t="str">
        <f t="shared" si="2"/>
        <v/>
      </c>
      <c r="L27" s="19" t="str">
        <f t="shared" si="3"/>
        <v>X</v>
      </c>
      <c r="M27" s="28" t="str">
        <f t="shared" si="4"/>
        <v>X</v>
      </c>
    </row>
    <row r="28" spans="1:13" x14ac:dyDescent="0.25">
      <c r="A28" s="27">
        <v>27</v>
      </c>
      <c r="B28" s="19" t="s">
        <v>100</v>
      </c>
      <c r="C28" s="19" t="s">
        <v>21</v>
      </c>
      <c r="D28" s="12" t="str">
        <f>VLOOKUP(C28,Tableau2[],4,FALSE)</f>
        <v>GPIO12, ADC2_CH5, TOUCH5, RTC_GPIO15, MTDI, HSPIQ, HS2_DATA2, SD_DATA2, EMAC_TXD3</v>
      </c>
      <c r="E28" s="19">
        <v>12</v>
      </c>
      <c r="F28" s="19" t="str">
        <f>VLOOKUP($E28,Utilisation!$A$2:$D$33,2,FALSE)</f>
        <v>OK</v>
      </c>
      <c r="G28" s="19" t="str">
        <f>VLOOKUP($E28,Utilisation!$A$2:$D$33,3,FALSE)</f>
        <v>OK</v>
      </c>
      <c r="H28" s="20" t="str">
        <f>VLOOKUP($E28,Utilisation!$A$2:$D$33,4,FALSE)</f>
        <v xml:space="preserve">boot fail if pulled high </v>
      </c>
      <c r="I28" s="40" t="str">
        <f t="shared" si="0"/>
        <v>X</v>
      </c>
      <c r="J28" s="19" t="str">
        <f t="shared" si="1"/>
        <v>X</v>
      </c>
      <c r="K28" s="19" t="str">
        <f t="shared" si="2"/>
        <v/>
      </c>
      <c r="L28" s="19" t="str">
        <f t="shared" si="3"/>
        <v>X</v>
      </c>
      <c r="M28" s="28" t="str">
        <f t="shared" si="4"/>
        <v>X</v>
      </c>
    </row>
    <row r="29" spans="1:13" x14ac:dyDescent="0.25">
      <c r="A29" s="27">
        <v>28</v>
      </c>
      <c r="B29" s="19" t="s">
        <v>101</v>
      </c>
      <c r="C29" s="19" t="s">
        <v>22</v>
      </c>
      <c r="D29" s="12" t="str">
        <f>VLOOKUP(C29,Tableau2[],4,FALSE)</f>
        <v>GPIO13, ADC2_CH4, TOUCH4, RTC_GPIO14, MTCK, HSPID, HS2_DATA3, SD_DATA3, EMAC_RX_ER</v>
      </c>
      <c r="E29" s="19">
        <v>13</v>
      </c>
      <c r="F29" s="19" t="str">
        <f>VLOOKUP($E29,Utilisation!$A$2:$D$33,2,FALSE)</f>
        <v>OK</v>
      </c>
      <c r="G29" s="19" t="str">
        <f>VLOOKUP($E29,Utilisation!$A$2:$D$33,3,FALSE)</f>
        <v>OK</v>
      </c>
      <c r="H29" s="20" t="str">
        <f>VLOOKUP($E29,Utilisation!$A$2:$D$33,4,FALSE)</f>
        <v xml:space="preserve">     </v>
      </c>
      <c r="I29" s="40" t="str">
        <f t="shared" si="0"/>
        <v>X</v>
      </c>
      <c r="J29" s="19" t="str">
        <f t="shared" si="1"/>
        <v/>
      </c>
      <c r="K29" s="19" t="str">
        <f t="shared" si="2"/>
        <v/>
      </c>
      <c r="L29" s="19" t="str">
        <f t="shared" si="3"/>
        <v>X</v>
      </c>
      <c r="M29" s="28" t="str">
        <f t="shared" si="4"/>
        <v>X</v>
      </c>
    </row>
    <row r="30" spans="1:13" x14ac:dyDescent="0.25">
      <c r="A30" s="27">
        <v>29</v>
      </c>
      <c r="B30" s="19" t="s">
        <v>4</v>
      </c>
      <c r="C30" s="19" t="s">
        <v>4</v>
      </c>
      <c r="D30" s="12" t="str">
        <f>VLOOKUP(C30,Tableau2[],4,FALSE)</f>
        <v>Ground</v>
      </c>
      <c r="E30" s="12"/>
      <c r="F30" s="12"/>
      <c r="G30" s="12"/>
      <c r="H30" s="12"/>
      <c r="I30" s="19" t="str">
        <f t="shared" si="0"/>
        <v/>
      </c>
      <c r="J30" s="19" t="str">
        <f t="shared" si="1"/>
        <v/>
      </c>
      <c r="K30" s="19" t="str">
        <f t="shared" si="2"/>
        <v/>
      </c>
      <c r="L30" s="19" t="str">
        <f t="shared" si="3"/>
        <v/>
      </c>
      <c r="M30" s="28" t="str">
        <f t="shared" si="4"/>
        <v/>
      </c>
    </row>
    <row r="31" spans="1:13" ht="15.75" thickBot="1" x14ac:dyDescent="0.3">
      <c r="A31" s="29">
        <v>30</v>
      </c>
      <c r="B31" s="30" t="s">
        <v>102</v>
      </c>
      <c r="C31" s="30" t="s">
        <v>106</v>
      </c>
      <c r="D31" s="31" t="s">
        <v>160</v>
      </c>
      <c r="E31" s="31"/>
      <c r="F31" s="31"/>
      <c r="G31" s="31"/>
      <c r="H31" s="31"/>
      <c r="I31" s="30" t="str">
        <f t="shared" si="0"/>
        <v/>
      </c>
      <c r="J31" s="30" t="str">
        <f t="shared" si="1"/>
        <v/>
      </c>
      <c r="K31" s="30" t="str">
        <f t="shared" si="2"/>
        <v/>
      </c>
      <c r="L31" s="30" t="str">
        <f t="shared" si="3"/>
        <v/>
      </c>
      <c r="M31" s="32" t="str">
        <f t="shared" si="4"/>
        <v/>
      </c>
    </row>
    <row r="33" spans="4:4" x14ac:dyDescent="0.25">
      <c r="D33" s="41" t="s">
        <v>163</v>
      </c>
    </row>
    <row r="34" spans="4:4" x14ac:dyDescent="0.25">
      <c r="D34" t="s">
        <v>162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8" sqref="D8"/>
    </sheetView>
  </sheetViews>
  <sheetFormatPr baseColWidth="10" defaultColWidth="9.140625" defaultRowHeight="15" x14ac:dyDescent="0.25"/>
  <cols>
    <col min="1" max="3" width="9.140625" style="16"/>
    <col min="4" max="4" width="41.28515625" style="16" bestFit="1" customWidth="1"/>
  </cols>
  <sheetData>
    <row r="1" spans="1:4" x14ac:dyDescent="0.25">
      <c r="A1" s="15" t="s">
        <v>114</v>
      </c>
      <c r="B1" s="15" t="s">
        <v>115</v>
      </c>
      <c r="C1" s="15" t="s">
        <v>116</v>
      </c>
      <c r="D1" s="13" t="s">
        <v>117</v>
      </c>
    </row>
    <row r="2" spans="1:4" x14ac:dyDescent="0.25">
      <c r="A2" s="16">
        <v>0</v>
      </c>
      <c r="B2" s="16" t="s">
        <v>119</v>
      </c>
      <c r="C2" s="16" t="s">
        <v>110</v>
      </c>
      <c r="D2" s="17" t="s">
        <v>120</v>
      </c>
    </row>
    <row r="3" spans="1:4" x14ac:dyDescent="0.25">
      <c r="A3" s="16">
        <v>1</v>
      </c>
      <c r="B3" s="16" t="s">
        <v>118</v>
      </c>
      <c r="C3" s="16" t="s">
        <v>110</v>
      </c>
      <c r="D3" s="17" t="s">
        <v>166</v>
      </c>
    </row>
    <row r="4" spans="1:4" x14ac:dyDescent="0.25">
      <c r="A4" s="16">
        <v>2</v>
      </c>
      <c r="B4" s="16" t="s">
        <v>110</v>
      </c>
      <c r="C4" s="16" t="s">
        <v>110</v>
      </c>
      <c r="D4" s="17" t="s">
        <v>121</v>
      </c>
    </row>
    <row r="5" spans="1:4" x14ac:dyDescent="0.25">
      <c r="A5" s="16">
        <v>3</v>
      </c>
      <c r="B5" s="16" t="s">
        <v>165</v>
      </c>
      <c r="C5" s="16" t="s">
        <v>111</v>
      </c>
      <c r="D5" s="17" t="s">
        <v>164</v>
      </c>
    </row>
    <row r="6" spans="1:4" x14ac:dyDescent="0.25">
      <c r="A6" s="16">
        <v>4</v>
      </c>
      <c r="B6" s="16" t="s">
        <v>110</v>
      </c>
      <c r="C6" s="16" t="s">
        <v>110</v>
      </c>
      <c r="D6" s="17" t="s">
        <v>122</v>
      </c>
    </row>
    <row r="7" spans="1:4" x14ac:dyDescent="0.25">
      <c r="A7" s="16">
        <v>5</v>
      </c>
      <c r="B7" s="16" t="s">
        <v>110</v>
      </c>
      <c r="C7" s="16" t="s">
        <v>110</v>
      </c>
      <c r="D7" s="17" t="s">
        <v>167</v>
      </c>
    </row>
    <row r="8" spans="1:4" x14ac:dyDescent="0.25">
      <c r="A8" s="16">
        <v>6</v>
      </c>
      <c r="B8" s="16" t="s">
        <v>112</v>
      </c>
      <c r="C8" s="16" t="s">
        <v>112</v>
      </c>
      <c r="D8" s="17" t="s">
        <v>123</v>
      </c>
    </row>
    <row r="9" spans="1:4" x14ac:dyDescent="0.25">
      <c r="A9" s="16">
        <v>7</v>
      </c>
      <c r="B9" s="16" t="s">
        <v>112</v>
      </c>
      <c r="C9" s="16" t="s">
        <v>112</v>
      </c>
      <c r="D9" s="17" t="s">
        <v>123</v>
      </c>
    </row>
    <row r="10" spans="1:4" x14ac:dyDescent="0.25">
      <c r="A10" s="16">
        <v>8</v>
      </c>
      <c r="B10" s="16" t="s">
        <v>112</v>
      </c>
      <c r="C10" s="16" t="s">
        <v>112</v>
      </c>
      <c r="D10" s="17" t="s">
        <v>123</v>
      </c>
    </row>
    <row r="11" spans="1:4" x14ac:dyDescent="0.25">
      <c r="A11" s="16">
        <v>9</v>
      </c>
      <c r="B11" s="16" t="s">
        <v>112</v>
      </c>
      <c r="C11" s="16" t="s">
        <v>112</v>
      </c>
      <c r="D11" s="17" t="s">
        <v>123</v>
      </c>
    </row>
    <row r="12" spans="1:4" x14ac:dyDescent="0.25">
      <c r="A12" s="16">
        <v>10</v>
      </c>
      <c r="B12" s="16" t="s">
        <v>112</v>
      </c>
      <c r="C12" s="16" t="s">
        <v>112</v>
      </c>
      <c r="D12" s="17" t="s">
        <v>123</v>
      </c>
    </row>
    <row r="13" spans="1:4" x14ac:dyDescent="0.25">
      <c r="A13" s="16">
        <v>11</v>
      </c>
      <c r="B13" s="16" t="s">
        <v>112</v>
      </c>
      <c r="C13" s="16" t="s">
        <v>112</v>
      </c>
      <c r="D13" s="17" t="s">
        <v>123</v>
      </c>
    </row>
    <row r="14" spans="1:4" x14ac:dyDescent="0.25">
      <c r="A14" s="16">
        <v>12</v>
      </c>
      <c r="B14" s="16" t="s">
        <v>110</v>
      </c>
      <c r="C14" s="16" t="s">
        <v>110</v>
      </c>
      <c r="D14" s="17" t="s">
        <v>124</v>
      </c>
    </row>
    <row r="15" spans="1:4" x14ac:dyDescent="0.25">
      <c r="A15" s="16">
        <v>13</v>
      </c>
      <c r="B15" s="16" t="s">
        <v>110</v>
      </c>
      <c r="C15" s="16" t="s">
        <v>110</v>
      </c>
      <c r="D15" s="17" t="s">
        <v>122</v>
      </c>
    </row>
    <row r="16" spans="1:4" x14ac:dyDescent="0.25">
      <c r="A16" s="16">
        <v>14</v>
      </c>
      <c r="B16" s="16" t="s">
        <v>110</v>
      </c>
      <c r="C16" s="16" t="s">
        <v>110</v>
      </c>
      <c r="D16" s="17" t="s">
        <v>120</v>
      </c>
    </row>
    <row r="17" spans="1:4" x14ac:dyDescent="0.25">
      <c r="A17" s="16">
        <v>15</v>
      </c>
      <c r="B17" s="16" t="s">
        <v>110</v>
      </c>
      <c r="C17" s="16" t="s">
        <v>110</v>
      </c>
      <c r="D17" s="17" t="s">
        <v>120</v>
      </c>
    </row>
    <row r="18" spans="1:4" x14ac:dyDescent="0.25">
      <c r="A18" s="16">
        <v>16</v>
      </c>
      <c r="B18" s="16" t="s">
        <v>110</v>
      </c>
      <c r="C18" s="16" t="s">
        <v>110</v>
      </c>
      <c r="D18" s="17" t="s">
        <v>122</v>
      </c>
    </row>
    <row r="19" spans="1:4" x14ac:dyDescent="0.25">
      <c r="A19" s="16">
        <v>17</v>
      </c>
      <c r="B19" s="16" t="s">
        <v>110</v>
      </c>
      <c r="C19" s="16" t="s">
        <v>110</v>
      </c>
      <c r="D19" s="17" t="s">
        <v>122</v>
      </c>
    </row>
    <row r="20" spans="1:4" x14ac:dyDescent="0.25">
      <c r="A20" s="16">
        <v>18</v>
      </c>
      <c r="B20" s="16" t="s">
        <v>110</v>
      </c>
      <c r="C20" s="16" t="s">
        <v>110</v>
      </c>
      <c r="D20" s="17" t="s">
        <v>122</v>
      </c>
    </row>
    <row r="21" spans="1:4" x14ac:dyDescent="0.25">
      <c r="A21" s="16">
        <v>19</v>
      </c>
      <c r="B21" s="16" t="s">
        <v>110</v>
      </c>
      <c r="C21" s="16" t="s">
        <v>110</v>
      </c>
      <c r="D21" s="17" t="s">
        <v>122</v>
      </c>
    </row>
    <row r="22" spans="1:4" x14ac:dyDescent="0.25">
      <c r="A22" s="16">
        <v>21</v>
      </c>
      <c r="B22" s="16" t="s">
        <v>110</v>
      </c>
      <c r="C22" s="16" t="s">
        <v>110</v>
      </c>
      <c r="D22" s="17" t="s">
        <v>122</v>
      </c>
    </row>
    <row r="23" spans="1:4" x14ac:dyDescent="0.25">
      <c r="A23" s="16">
        <v>22</v>
      </c>
      <c r="B23" s="16" t="s">
        <v>110</v>
      </c>
      <c r="C23" s="16" t="s">
        <v>110</v>
      </c>
      <c r="D23" s="17" t="s">
        <v>122</v>
      </c>
    </row>
    <row r="24" spans="1:4" x14ac:dyDescent="0.25">
      <c r="A24" s="16">
        <v>23</v>
      </c>
      <c r="B24" s="16" t="s">
        <v>110</v>
      </c>
      <c r="C24" s="16" t="s">
        <v>110</v>
      </c>
      <c r="D24" s="17" t="s">
        <v>122</v>
      </c>
    </row>
    <row r="25" spans="1:4" x14ac:dyDescent="0.25">
      <c r="A25" s="16">
        <v>25</v>
      </c>
      <c r="B25" s="16" t="s">
        <v>110</v>
      </c>
      <c r="C25" s="16" t="s">
        <v>110</v>
      </c>
      <c r="D25" s="17" t="s">
        <v>122</v>
      </c>
    </row>
    <row r="26" spans="1:4" x14ac:dyDescent="0.25">
      <c r="A26" s="16">
        <v>26</v>
      </c>
      <c r="B26" s="16" t="s">
        <v>110</v>
      </c>
      <c r="C26" s="16" t="s">
        <v>110</v>
      </c>
      <c r="D26" s="17" t="s">
        <v>122</v>
      </c>
    </row>
    <row r="27" spans="1:4" x14ac:dyDescent="0.25">
      <c r="A27" s="16">
        <v>27</v>
      </c>
      <c r="B27" s="16" t="s">
        <v>110</v>
      </c>
      <c r="C27" s="16" t="s">
        <v>110</v>
      </c>
      <c r="D27" s="17" t="s">
        <v>122</v>
      </c>
    </row>
    <row r="28" spans="1:4" x14ac:dyDescent="0.25">
      <c r="A28" s="16">
        <v>32</v>
      </c>
      <c r="B28" s="16" t="s">
        <v>110</v>
      </c>
      <c r="C28" s="16" t="s">
        <v>110</v>
      </c>
      <c r="D28" s="17" t="s">
        <v>122</v>
      </c>
    </row>
    <row r="29" spans="1:4" x14ac:dyDescent="0.25">
      <c r="A29" s="16">
        <v>33</v>
      </c>
      <c r="B29" s="16" t="s">
        <v>110</v>
      </c>
      <c r="C29" s="16" t="s">
        <v>110</v>
      </c>
      <c r="D29" s="17" t="s">
        <v>122</v>
      </c>
    </row>
    <row r="30" spans="1:4" x14ac:dyDescent="0.25">
      <c r="A30" s="16">
        <v>34</v>
      </c>
      <c r="B30" s="16" t="s">
        <v>110</v>
      </c>
      <c r="C30" s="16" t="s">
        <v>112</v>
      </c>
      <c r="D30" s="17" t="s">
        <v>161</v>
      </c>
    </row>
    <row r="31" spans="1:4" x14ac:dyDescent="0.25">
      <c r="A31" s="16">
        <v>35</v>
      </c>
      <c r="B31" s="16" t="s">
        <v>110</v>
      </c>
      <c r="C31" s="16" t="s">
        <v>112</v>
      </c>
      <c r="D31" s="17" t="s">
        <v>161</v>
      </c>
    </row>
    <row r="32" spans="1:4" x14ac:dyDescent="0.25">
      <c r="A32" s="16">
        <v>36</v>
      </c>
      <c r="B32" s="16" t="s">
        <v>110</v>
      </c>
      <c r="C32" s="16" t="s">
        <v>112</v>
      </c>
      <c r="D32" s="17" t="s">
        <v>161</v>
      </c>
    </row>
    <row r="33" spans="1:4" x14ac:dyDescent="0.25">
      <c r="A33" s="16">
        <v>39</v>
      </c>
      <c r="B33" s="16" t="s">
        <v>110</v>
      </c>
      <c r="C33" s="16" t="s">
        <v>112</v>
      </c>
      <c r="D33" s="1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Pin out WROOM</vt:lpstr>
      <vt:lpstr>Pin out module</vt:lpstr>
      <vt:lpstr>Utilisation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2021-10-31T20:38:08Z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88517513-a7df-4a53-8ffd-179c13b8e8d1</vt:lpwstr>
  </property>
</Properties>
</file>